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ocuments\Агентство\2026\Регионы\Приложение 5\Модуль Б\Б2 Ремонтные работы\"/>
    </mc:Choice>
  </mc:AlternateContent>
  <bookViews>
    <workbookView xWindow="0" yWindow="0" windowWidth="20490" windowHeight="7620" firstSheet="1" activeTab="1"/>
  </bookViews>
  <sheets>
    <sheet name="CalcTmp" sheetId="6" state="hidden" r:id="rId1"/>
    <sheet name="ЛС 11 граф (АО Атомпроект)" sheetId="5" r:id="rId2"/>
    <sheet name="Source" sheetId="1" state="hidden" r:id="rId3"/>
    <sheet name="SourceObSm" sheetId="2" state="hidden" r:id="rId4"/>
    <sheet name="SmtRes" sheetId="3" state="hidden" r:id="rId5"/>
    <sheet name="EtalonRes" sheetId="4" state="hidden" r:id="rId6"/>
  </sheets>
  <definedNames>
    <definedName name="_xlnm.Print_Titles" localSheetId="1">'ЛС 11 граф (АО Атомпроект)'!$29:$29</definedName>
    <definedName name="_xlnm.Print_Area" localSheetId="1">'ЛС 11 граф (АО Атомпроект)'!$A$1:$L$252</definedName>
  </definedNames>
  <calcPr calcId="162913"/>
</workbook>
</file>

<file path=xl/calcChain.xml><?xml version="1.0" encoding="utf-8"?>
<calcChain xmlns="http://schemas.openxmlformats.org/spreadsheetml/2006/main">
  <c r="A8" i="5" l="1"/>
  <c r="I250" i="5" l="1"/>
  <c r="C250" i="5"/>
  <c r="I247" i="5"/>
  <c r="C247" i="5"/>
  <c r="A244" i="5"/>
  <c r="A243" i="5"/>
  <c r="A242" i="5"/>
  <c r="A241" i="5"/>
  <c r="A240" i="5"/>
  <c r="A239" i="5"/>
  <c r="A238" i="5"/>
  <c r="G237" i="5"/>
  <c r="A237" i="5"/>
  <c r="G236" i="5"/>
  <c r="A236" i="5"/>
  <c r="A235" i="5"/>
  <c r="G234" i="5"/>
  <c r="G233" i="5"/>
  <c r="A231" i="5"/>
  <c r="A230" i="5"/>
  <c r="G229" i="5"/>
  <c r="G228" i="5"/>
  <c r="A226" i="5"/>
  <c r="A225" i="5"/>
  <c r="G224" i="5"/>
  <c r="G223" i="5"/>
  <c r="G222" i="5"/>
  <c r="A222" i="5"/>
  <c r="A220" i="5"/>
  <c r="A219" i="5"/>
  <c r="G218" i="5"/>
  <c r="G217" i="5"/>
  <c r="G216" i="5"/>
  <c r="A216" i="5"/>
  <c r="A214" i="5"/>
  <c r="A212" i="5"/>
  <c r="C209" i="5"/>
  <c r="A209" i="5"/>
  <c r="AF207" i="5"/>
  <c r="C207" i="5"/>
  <c r="C202" i="5"/>
  <c r="A202" i="5"/>
  <c r="C199" i="5"/>
  <c r="A199" i="5"/>
  <c r="C196" i="5"/>
  <c r="A196" i="5"/>
  <c r="C191" i="5"/>
  <c r="A191" i="5"/>
  <c r="A190" i="5"/>
  <c r="C187" i="5"/>
  <c r="A187" i="5"/>
  <c r="AF185" i="5"/>
  <c r="C185" i="5"/>
  <c r="C180" i="5"/>
  <c r="A180" i="5"/>
  <c r="D177" i="5"/>
  <c r="C177" i="5"/>
  <c r="A177" i="5"/>
  <c r="AF175" i="5"/>
  <c r="C175" i="5"/>
  <c r="C170" i="5"/>
  <c r="A170" i="5"/>
  <c r="AF168" i="5"/>
  <c r="C168" i="5"/>
  <c r="C163" i="5"/>
  <c r="A163" i="5"/>
  <c r="AF161" i="5"/>
  <c r="C161" i="5"/>
  <c r="D156" i="5"/>
  <c r="C156" i="5"/>
  <c r="A156" i="5"/>
  <c r="A155" i="5"/>
  <c r="D152" i="5"/>
  <c r="C152" i="5"/>
  <c r="A152" i="5"/>
  <c r="AF150" i="5"/>
  <c r="C150" i="5"/>
  <c r="D145" i="5"/>
  <c r="C145" i="5"/>
  <c r="A145" i="5"/>
  <c r="D142" i="5"/>
  <c r="C142" i="5"/>
  <c r="A142" i="5"/>
  <c r="AF140" i="5"/>
  <c r="C140" i="5"/>
  <c r="C135" i="5"/>
  <c r="A135" i="5"/>
  <c r="C132" i="5"/>
  <c r="A132" i="5"/>
  <c r="AF130" i="5"/>
  <c r="C130" i="5"/>
  <c r="C125" i="5"/>
  <c r="A125" i="5"/>
  <c r="A124" i="5"/>
  <c r="C121" i="5"/>
  <c r="A121" i="5"/>
  <c r="AF119" i="5"/>
  <c r="C119" i="5"/>
  <c r="C114" i="5"/>
  <c r="A114" i="5"/>
  <c r="AF112" i="5"/>
  <c r="C112" i="5"/>
  <c r="C107" i="5"/>
  <c r="A107" i="5"/>
  <c r="C104" i="5"/>
  <c r="A104" i="5"/>
  <c r="AF102" i="5"/>
  <c r="C102" i="5"/>
  <c r="C97" i="5"/>
  <c r="A97" i="5"/>
  <c r="C94" i="5"/>
  <c r="A94" i="5"/>
  <c r="C91" i="5"/>
  <c r="A91" i="5"/>
  <c r="C86" i="5"/>
  <c r="A86" i="5"/>
  <c r="AF84" i="5"/>
  <c r="C84" i="5"/>
  <c r="C79" i="5"/>
  <c r="A79" i="5"/>
  <c r="AF77" i="5"/>
  <c r="C77" i="5"/>
  <c r="A72" i="5"/>
  <c r="C69" i="5"/>
  <c r="A69" i="5"/>
  <c r="AF67" i="5"/>
  <c r="C67" i="5"/>
  <c r="C62" i="5"/>
  <c r="A62" i="5"/>
  <c r="C57" i="5"/>
  <c r="A57" i="5"/>
  <c r="C54" i="5"/>
  <c r="A54" i="5"/>
  <c r="AF52" i="5"/>
  <c r="C52" i="5"/>
  <c r="C47" i="5"/>
  <c r="A47" i="5"/>
  <c r="C44" i="5"/>
  <c r="A44" i="5"/>
  <c r="C41" i="5"/>
  <c r="A41" i="5"/>
  <c r="C36" i="5"/>
  <c r="A36" i="5"/>
  <c r="D31" i="5"/>
  <c r="C31" i="5"/>
  <c r="A31" i="5"/>
  <c r="A30" i="5"/>
  <c r="A25" i="5"/>
  <c r="I14" i="5"/>
  <c r="A6" i="5"/>
  <c r="A1" i="5"/>
  <c r="A1" i="4" l="1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" i="3"/>
  <c r="CX1" i="3"/>
  <c r="CY1" i="3"/>
  <c r="CZ1" i="3"/>
  <c r="DB1" i="3" s="1"/>
  <c r="DA1" i="3"/>
  <c r="DC1" i="3"/>
  <c r="A2" i="3"/>
  <c r="CX2" i="3"/>
  <c r="CY2" i="3"/>
  <c r="CZ2" i="3"/>
  <c r="DB2" i="3" s="1"/>
  <c r="DA2" i="3"/>
  <c r="DC2" i="3"/>
  <c r="A3" i="3"/>
  <c r="CY3" i="3"/>
  <c r="CZ3" i="3"/>
  <c r="DB3" i="3" s="1"/>
  <c r="DA3" i="3"/>
  <c r="DC3" i="3"/>
  <c r="A4" i="3"/>
  <c r="CY4" i="3"/>
  <c r="CZ4" i="3"/>
  <c r="DA4" i="3"/>
  <c r="DB4" i="3"/>
  <c r="DC4" i="3"/>
  <c r="A5" i="3"/>
  <c r="CY5" i="3"/>
  <c r="CZ5" i="3"/>
  <c r="DB5" i="3" s="1"/>
  <c r="DA5" i="3"/>
  <c r="DC5" i="3"/>
  <c r="A6" i="3"/>
  <c r="CY6" i="3"/>
  <c r="CZ6" i="3"/>
  <c r="DB6" i="3" s="1"/>
  <c r="DA6" i="3"/>
  <c r="DC6" i="3"/>
  <c r="A7" i="3"/>
  <c r="CY7" i="3"/>
  <c r="CZ7" i="3"/>
  <c r="DA7" i="3"/>
  <c r="DB7" i="3"/>
  <c r="DC7" i="3"/>
  <c r="A8" i="3"/>
  <c r="CY8" i="3"/>
  <c r="CZ8" i="3"/>
  <c r="DB8" i="3" s="1"/>
  <c r="DA8" i="3"/>
  <c r="DC8" i="3"/>
  <c r="A9" i="3"/>
  <c r="CY9" i="3"/>
  <c r="CZ9" i="3"/>
  <c r="DB9" i="3" s="1"/>
  <c r="DA9" i="3"/>
  <c r="DC9" i="3"/>
  <c r="A10" i="3"/>
  <c r="CY10" i="3"/>
  <c r="CZ10" i="3"/>
  <c r="DB10" i="3" s="1"/>
  <c r="DA10" i="3"/>
  <c r="DC10" i="3"/>
  <c r="A11" i="3"/>
  <c r="CY11" i="3"/>
  <c r="CZ11" i="3"/>
  <c r="DB11" i="3" s="1"/>
  <c r="DA11" i="3"/>
  <c r="DC11" i="3"/>
  <c r="A12" i="3"/>
  <c r="CY12" i="3"/>
  <c r="CZ12" i="3"/>
  <c r="DB12" i="3" s="1"/>
  <c r="DA12" i="3"/>
  <c r="DC12" i="3"/>
  <c r="A13" i="3"/>
  <c r="CY13" i="3"/>
  <c r="CZ13" i="3"/>
  <c r="DB13" i="3" s="1"/>
  <c r="DA13" i="3"/>
  <c r="DC13" i="3"/>
  <c r="A14" i="3"/>
  <c r="CY14" i="3"/>
  <c r="CZ14" i="3"/>
  <c r="DB14" i="3" s="1"/>
  <c r="DA14" i="3"/>
  <c r="DC14" i="3"/>
  <c r="A15" i="3"/>
  <c r="CY15" i="3"/>
  <c r="CZ15" i="3"/>
  <c r="DB15" i="3" s="1"/>
  <c r="DA15" i="3"/>
  <c r="DC15" i="3"/>
  <c r="A16" i="3"/>
  <c r="CY16" i="3"/>
  <c r="CZ16" i="3"/>
  <c r="DA16" i="3"/>
  <c r="DB16" i="3"/>
  <c r="DC16" i="3"/>
  <c r="A17" i="3"/>
  <c r="CY17" i="3"/>
  <c r="CZ17" i="3"/>
  <c r="DB17" i="3" s="1"/>
  <c r="DA17" i="3"/>
  <c r="DC17" i="3"/>
  <c r="A18" i="3"/>
  <c r="CY18" i="3"/>
  <c r="CZ18" i="3"/>
  <c r="DB18" i="3" s="1"/>
  <c r="DA18" i="3"/>
  <c r="DC18" i="3"/>
  <c r="A19" i="3"/>
  <c r="CY19" i="3"/>
  <c r="CZ19" i="3"/>
  <c r="DA19" i="3"/>
  <c r="DB19" i="3"/>
  <c r="DC19" i="3"/>
  <c r="A20" i="3"/>
  <c r="CY20" i="3"/>
  <c r="CZ20" i="3"/>
  <c r="DB20" i="3" s="1"/>
  <c r="DA20" i="3"/>
  <c r="DC20" i="3"/>
  <c r="A21" i="3"/>
  <c r="CY21" i="3"/>
  <c r="CZ21" i="3"/>
  <c r="DB21" i="3" s="1"/>
  <c r="DA21" i="3"/>
  <c r="DC21" i="3"/>
  <c r="A22" i="3"/>
  <c r="CY22" i="3"/>
  <c r="CZ22" i="3"/>
  <c r="DB22" i="3" s="1"/>
  <c r="DA22" i="3"/>
  <c r="DC22" i="3"/>
  <c r="A23" i="3"/>
  <c r="CY23" i="3"/>
  <c r="CZ23" i="3"/>
  <c r="DB23" i="3" s="1"/>
  <c r="DA23" i="3"/>
  <c r="DC23" i="3"/>
  <c r="A24" i="3"/>
  <c r="CY24" i="3"/>
  <c r="CZ24" i="3"/>
  <c r="DA24" i="3"/>
  <c r="DB24" i="3"/>
  <c r="DC24" i="3"/>
  <c r="A25" i="3"/>
  <c r="CY25" i="3"/>
  <c r="CZ25" i="3"/>
  <c r="DB25" i="3" s="1"/>
  <c r="DA25" i="3"/>
  <c r="DC25" i="3"/>
  <c r="A26" i="3"/>
  <c r="CY26" i="3"/>
  <c r="CZ26" i="3"/>
  <c r="DB26" i="3" s="1"/>
  <c r="DA26" i="3"/>
  <c r="DC26" i="3"/>
  <c r="A27" i="3"/>
  <c r="CY27" i="3"/>
  <c r="CZ27" i="3"/>
  <c r="DA27" i="3"/>
  <c r="DB27" i="3"/>
  <c r="DC27" i="3"/>
  <c r="A28" i="3"/>
  <c r="CY28" i="3"/>
  <c r="CZ28" i="3"/>
  <c r="DB28" i="3" s="1"/>
  <c r="DA28" i="3"/>
  <c r="DC28" i="3"/>
  <c r="A29" i="3"/>
  <c r="CY29" i="3"/>
  <c r="CZ29" i="3"/>
  <c r="DB29" i="3" s="1"/>
  <c r="DA29" i="3"/>
  <c r="DC29" i="3"/>
  <c r="A30" i="3"/>
  <c r="CY30" i="3"/>
  <c r="CZ30" i="3"/>
  <c r="DB30" i="3" s="1"/>
  <c r="DA30" i="3"/>
  <c r="DC30" i="3"/>
  <c r="A31" i="3"/>
  <c r="CY31" i="3"/>
  <c r="CZ31" i="3"/>
  <c r="DB31" i="3" s="1"/>
  <c r="DA31" i="3"/>
  <c r="DC31" i="3"/>
  <c r="A32" i="3"/>
  <c r="CY32" i="3"/>
  <c r="CZ32" i="3"/>
  <c r="DA32" i="3"/>
  <c r="DB32" i="3"/>
  <c r="DC32" i="3"/>
  <c r="A33" i="3"/>
  <c r="CY33" i="3"/>
  <c r="CZ33" i="3"/>
  <c r="DB33" i="3" s="1"/>
  <c r="DA33" i="3"/>
  <c r="DC33" i="3"/>
  <c r="A34" i="3"/>
  <c r="CY34" i="3"/>
  <c r="CZ34" i="3"/>
  <c r="DB34" i="3" s="1"/>
  <c r="DA34" i="3"/>
  <c r="DC34" i="3"/>
  <c r="A35" i="3"/>
  <c r="CY35" i="3"/>
  <c r="CZ35" i="3"/>
  <c r="DA35" i="3"/>
  <c r="DB35" i="3"/>
  <c r="DC35" i="3"/>
  <c r="A36" i="3"/>
  <c r="CY36" i="3"/>
  <c r="CZ36" i="3"/>
  <c r="DB36" i="3" s="1"/>
  <c r="DA36" i="3"/>
  <c r="DC36" i="3"/>
  <c r="A37" i="3"/>
  <c r="CY37" i="3"/>
  <c r="CZ37" i="3"/>
  <c r="DB37" i="3" s="1"/>
  <c r="DA37" i="3"/>
  <c r="DC37" i="3"/>
  <c r="A38" i="3"/>
  <c r="CY38" i="3"/>
  <c r="CZ38" i="3"/>
  <c r="DB38" i="3" s="1"/>
  <c r="DA38" i="3"/>
  <c r="DC38" i="3"/>
  <c r="A39" i="3"/>
  <c r="CY39" i="3"/>
  <c r="CZ39" i="3"/>
  <c r="DB39" i="3" s="1"/>
  <c r="DA39" i="3"/>
  <c r="DC39" i="3"/>
  <c r="A40" i="3"/>
  <c r="CY40" i="3"/>
  <c r="CZ40" i="3"/>
  <c r="DA40" i="3"/>
  <c r="DB40" i="3"/>
  <c r="DC40" i="3"/>
  <c r="A41" i="3"/>
  <c r="CY41" i="3"/>
  <c r="CZ41" i="3"/>
  <c r="DB41" i="3" s="1"/>
  <c r="DA41" i="3"/>
  <c r="DC41" i="3"/>
  <c r="A42" i="3"/>
  <c r="CY42" i="3"/>
  <c r="CZ42" i="3"/>
  <c r="DB42" i="3" s="1"/>
  <c r="DA42" i="3"/>
  <c r="DC42" i="3"/>
  <c r="A43" i="3"/>
  <c r="CY43" i="3"/>
  <c r="CZ43" i="3"/>
  <c r="DA43" i="3"/>
  <c r="DB43" i="3"/>
  <c r="DC43" i="3"/>
  <c r="A44" i="3"/>
  <c r="CY44" i="3"/>
  <c r="CZ44" i="3"/>
  <c r="DA44" i="3"/>
  <c r="DB44" i="3"/>
  <c r="DC44" i="3"/>
  <c r="A45" i="3"/>
  <c r="CY45" i="3"/>
  <c r="CZ45" i="3"/>
  <c r="DB45" i="3" s="1"/>
  <c r="DA45" i="3"/>
  <c r="DC45" i="3"/>
  <c r="A46" i="3"/>
  <c r="CY46" i="3"/>
  <c r="CZ46" i="3"/>
  <c r="DB46" i="3" s="1"/>
  <c r="DA46" i="3"/>
  <c r="DC46" i="3"/>
  <c r="A47" i="3"/>
  <c r="CY47" i="3"/>
  <c r="CZ47" i="3"/>
  <c r="DA47" i="3"/>
  <c r="DB47" i="3"/>
  <c r="DC47" i="3"/>
  <c r="A48" i="3"/>
  <c r="CY48" i="3"/>
  <c r="CZ48" i="3"/>
  <c r="DB48" i="3" s="1"/>
  <c r="DA48" i="3"/>
  <c r="DC48" i="3"/>
  <c r="A49" i="3"/>
  <c r="CY49" i="3"/>
  <c r="CZ49" i="3"/>
  <c r="DB49" i="3" s="1"/>
  <c r="DA49" i="3"/>
  <c r="DC49" i="3"/>
  <c r="A50" i="3"/>
  <c r="CY50" i="3"/>
  <c r="CZ50" i="3"/>
  <c r="DB50" i="3" s="1"/>
  <c r="DA50" i="3"/>
  <c r="DC50" i="3"/>
  <c r="A51" i="3"/>
  <c r="CY51" i="3"/>
  <c r="CZ51" i="3"/>
  <c r="DB51" i="3" s="1"/>
  <c r="DA51" i="3"/>
  <c r="DC51" i="3"/>
  <c r="A52" i="3"/>
  <c r="CY52" i="3"/>
  <c r="CZ52" i="3"/>
  <c r="DA52" i="3"/>
  <c r="DB52" i="3"/>
  <c r="DC52" i="3"/>
  <c r="A53" i="3"/>
  <c r="CY53" i="3"/>
  <c r="CZ53" i="3"/>
  <c r="DB53" i="3" s="1"/>
  <c r="DA53" i="3"/>
  <c r="DC53" i="3"/>
  <c r="A54" i="3"/>
  <c r="CY54" i="3"/>
  <c r="CZ54" i="3"/>
  <c r="DB54" i="3" s="1"/>
  <c r="DA54" i="3"/>
  <c r="DC54" i="3"/>
  <c r="A55" i="3"/>
  <c r="CY55" i="3"/>
  <c r="CZ55" i="3"/>
  <c r="DA55" i="3"/>
  <c r="DB55" i="3"/>
  <c r="DC55" i="3"/>
  <c r="A56" i="3"/>
  <c r="CY56" i="3"/>
  <c r="CZ56" i="3"/>
  <c r="DB56" i="3" s="1"/>
  <c r="DA56" i="3"/>
  <c r="DC56" i="3"/>
  <c r="A57" i="3"/>
  <c r="CY57" i="3"/>
  <c r="CZ57" i="3"/>
  <c r="DB57" i="3" s="1"/>
  <c r="DA57" i="3"/>
  <c r="DC57" i="3"/>
  <c r="A58" i="3"/>
  <c r="CY58" i="3"/>
  <c r="CZ58" i="3"/>
  <c r="DB58" i="3" s="1"/>
  <c r="DA58" i="3"/>
  <c r="DC58" i="3"/>
  <c r="A59" i="3"/>
  <c r="CY59" i="3"/>
  <c r="CZ59" i="3"/>
  <c r="DB59" i="3" s="1"/>
  <c r="DA59" i="3"/>
  <c r="DC59" i="3"/>
  <c r="A60" i="3"/>
  <c r="CY60" i="3"/>
  <c r="CZ60" i="3"/>
  <c r="DA60" i="3"/>
  <c r="DB60" i="3"/>
  <c r="DC60" i="3"/>
  <c r="A61" i="3"/>
  <c r="CY61" i="3"/>
  <c r="CZ61" i="3"/>
  <c r="DB61" i="3" s="1"/>
  <c r="DA61" i="3"/>
  <c r="DC61" i="3"/>
  <c r="A62" i="3"/>
  <c r="CY62" i="3"/>
  <c r="CZ62" i="3"/>
  <c r="DB62" i="3" s="1"/>
  <c r="DA62" i="3"/>
  <c r="DC62" i="3"/>
  <c r="A63" i="3"/>
  <c r="CY63" i="3"/>
  <c r="CZ63" i="3"/>
  <c r="DA63" i="3"/>
  <c r="DB63" i="3"/>
  <c r="DC63" i="3"/>
  <c r="A64" i="3"/>
  <c r="CY64" i="3"/>
  <c r="CZ64" i="3"/>
  <c r="DB64" i="3" s="1"/>
  <c r="DA64" i="3"/>
  <c r="DC64" i="3"/>
  <c r="A65" i="3"/>
  <c r="CY65" i="3"/>
  <c r="CZ65" i="3"/>
  <c r="DB65" i="3" s="1"/>
  <c r="DA65" i="3"/>
  <c r="DC65" i="3"/>
  <c r="A66" i="3"/>
  <c r="CY66" i="3"/>
  <c r="CZ66" i="3"/>
  <c r="DB66" i="3" s="1"/>
  <c r="DA66" i="3"/>
  <c r="DC66" i="3"/>
  <c r="A67" i="3"/>
  <c r="CY67" i="3"/>
  <c r="CZ67" i="3"/>
  <c r="DB67" i="3" s="1"/>
  <c r="DA67" i="3"/>
  <c r="DC67" i="3"/>
  <c r="A68" i="3"/>
  <c r="CY68" i="3"/>
  <c r="CZ68" i="3"/>
  <c r="DA68" i="3"/>
  <c r="DB68" i="3"/>
  <c r="DC68" i="3"/>
  <c r="A69" i="3"/>
  <c r="CY69" i="3"/>
  <c r="CZ69" i="3"/>
  <c r="DB69" i="3" s="1"/>
  <c r="DA69" i="3"/>
  <c r="DC69" i="3"/>
  <c r="A70" i="3"/>
  <c r="CY70" i="3"/>
  <c r="CZ70" i="3"/>
  <c r="DB70" i="3" s="1"/>
  <c r="DA70" i="3"/>
  <c r="DC70" i="3"/>
  <c r="A71" i="3"/>
  <c r="CY71" i="3"/>
  <c r="CZ71" i="3"/>
  <c r="DA71" i="3"/>
  <c r="DB71" i="3"/>
  <c r="DC71" i="3"/>
  <c r="A72" i="3"/>
  <c r="CY72" i="3"/>
  <c r="CZ72" i="3"/>
  <c r="DB72" i="3" s="1"/>
  <c r="DA72" i="3"/>
  <c r="DC72" i="3"/>
  <c r="A73" i="3"/>
  <c r="CY73" i="3"/>
  <c r="CZ73" i="3"/>
  <c r="DB73" i="3" s="1"/>
  <c r="DA73" i="3"/>
  <c r="DC73" i="3"/>
  <c r="A74" i="3"/>
  <c r="CY74" i="3"/>
  <c r="CZ74" i="3"/>
  <c r="DB74" i="3" s="1"/>
  <c r="DA74" i="3"/>
  <c r="DC74" i="3"/>
  <c r="A75" i="3"/>
  <c r="CY75" i="3"/>
  <c r="CZ75" i="3"/>
  <c r="DB75" i="3" s="1"/>
  <c r="DA75" i="3"/>
  <c r="DC75" i="3"/>
  <c r="A76" i="3"/>
  <c r="CY76" i="3"/>
  <c r="CZ76" i="3"/>
  <c r="DA76" i="3"/>
  <c r="DB76" i="3"/>
  <c r="DC76" i="3"/>
  <c r="A77" i="3"/>
  <c r="CY77" i="3"/>
  <c r="CZ77" i="3"/>
  <c r="DB77" i="3" s="1"/>
  <c r="DA77" i="3"/>
  <c r="DC77" i="3"/>
  <c r="A78" i="3"/>
  <c r="CY78" i="3"/>
  <c r="CZ78" i="3"/>
  <c r="DB78" i="3" s="1"/>
  <c r="DA78" i="3"/>
  <c r="DC78" i="3"/>
  <c r="A79" i="3"/>
  <c r="CY79" i="3"/>
  <c r="CZ79" i="3"/>
  <c r="DA79" i="3"/>
  <c r="DB79" i="3"/>
  <c r="DC79" i="3"/>
  <c r="A80" i="3"/>
  <c r="CY80" i="3"/>
  <c r="CZ80" i="3"/>
  <c r="DB80" i="3" s="1"/>
  <c r="DA80" i="3"/>
  <c r="DC80" i="3"/>
  <c r="A81" i="3"/>
  <c r="CY81" i="3"/>
  <c r="CZ81" i="3"/>
  <c r="DB81" i="3" s="1"/>
  <c r="DA81" i="3"/>
  <c r="DC81" i="3"/>
  <c r="A82" i="3"/>
  <c r="CY82" i="3"/>
  <c r="CZ82" i="3"/>
  <c r="DB82" i="3" s="1"/>
  <c r="DA82" i="3"/>
  <c r="DC82" i="3"/>
  <c r="A83" i="3"/>
  <c r="CY83" i="3"/>
  <c r="CZ83" i="3"/>
  <c r="DB83" i="3" s="1"/>
  <c r="DA83" i="3"/>
  <c r="DC83" i="3"/>
  <c r="A84" i="3"/>
  <c r="CY84" i="3"/>
  <c r="CZ84" i="3"/>
  <c r="DA84" i="3"/>
  <c r="DB84" i="3"/>
  <c r="DC84" i="3"/>
  <c r="A85" i="3"/>
  <c r="CY85" i="3"/>
  <c r="CZ85" i="3"/>
  <c r="DB85" i="3" s="1"/>
  <c r="DA85" i="3"/>
  <c r="DC85" i="3"/>
  <c r="A86" i="3"/>
  <c r="CY86" i="3"/>
  <c r="CZ86" i="3"/>
  <c r="DB86" i="3" s="1"/>
  <c r="DA86" i="3"/>
  <c r="DC86" i="3"/>
  <c r="A87" i="3"/>
  <c r="CX87" i="3"/>
  <c r="CY87" i="3"/>
  <c r="CZ87" i="3"/>
  <c r="DA87" i="3"/>
  <c r="DB87" i="3"/>
  <c r="DC87" i="3"/>
  <c r="A88" i="3"/>
  <c r="CX88" i="3"/>
  <c r="CY88" i="3"/>
  <c r="CZ88" i="3"/>
  <c r="DA88" i="3"/>
  <c r="DB88" i="3"/>
  <c r="DC88" i="3"/>
  <c r="A89" i="3"/>
  <c r="CX89" i="3"/>
  <c r="CY89" i="3"/>
  <c r="CZ89" i="3"/>
  <c r="DB89" i="3" s="1"/>
  <c r="DA89" i="3"/>
  <c r="DC89" i="3"/>
  <c r="A90" i="3"/>
  <c r="CX90" i="3"/>
  <c r="CY90" i="3"/>
  <c r="CZ90" i="3"/>
  <c r="DB90" i="3" s="1"/>
  <c r="DA90" i="3"/>
  <c r="DC90" i="3"/>
  <c r="A91" i="3"/>
  <c r="CX91" i="3"/>
  <c r="CY91" i="3"/>
  <c r="CZ91" i="3"/>
  <c r="DB91" i="3" s="1"/>
  <c r="DA91" i="3"/>
  <c r="DC91" i="3"/>
  <c r="A92" i="3"/>
  <c r="CX92" i="3"/>
  <c r="CY92" i="3"/>
  <c r="CZ92" i="3"/>
  <c r="DB92" i="3" s="1"/>
  <c r="DA92" i="3"/>
  <c r="DC92" i="3"/>
  <c r="A93" i="3"/>
  <c r="CX93" i="3"/>
  <c r="CY93" i="3"/>
  <c r="CZ93" i="3"/>
  <c r="DB93" i="3" s="1"/>
  <c r="DA93" i="3"/>
  <c r="DC93" i="3"/>
  <c r="A94" i="3"/>
  <c r="CX94" i="3"/>
  <c r="CY94" i="3"/>
  <c r="CZ94" i="3"/>
  <c r="DB94" i="3" s="1"/>
  <c r="DA94" i="3"/>
  <c r="DC94" i="3"/>
  <c r="A95" i="3"/>
  <c r="CX95" i="3"/>
  <c r="CY95" i="3"/>
  <c r="CZ95" i="3"/>
  <c r="DA95" i="3"/>
  <c r="DB95" i="3"/>
  <c r="DC95" i="3"/>
  <c r="A96" i="3"/>
  <c r="CX96" i="3"/>
  <c r="CY96" i="3"/>
  <c r="CZ96" i="3"/>
  <c r="DA96" i="3"/>
  <c r="DB96" i="3"/>
  <c r="DC96" i="3"/>
  <c r="A97" i="3"/>
  <c r="CY97" i="3"/>
  <c r="CZ97" i="3"/>
  <c r="DB97" i="3" s="1"/>
  <c r="DA97" i="3"/>
  <c r="DC97" i="3"/>
  <c r="A98" i="3"/>
  <c r="CY98" i="3"/>
  <c r="CZ98" i="3"/>
  <c r="DB98" i="3" s="1"/>
  <c r="DA98" i="3"/>
  <c r="DC98" i="3"/>
  <c r="A99" i="3"/>
  <c r="CY99" i="3"/>
  <c r="CZ99" i="3"/>
  <c r="DA99" i="3"/>
  <c r="DB99" i="3"/>
  <c r="DC99" i="3"/>
  <c r="A100" i="3"/>
  <c r="CY100" i="3"/>
  <c r="CZ100" i="3"/>
  <c r="DB100" i="3" s="1"/>
  <c r="DA100" i="3"/>
  <c r="DC100" i="3"/>
  <c r="A101" i="3"/>
  <c r="CY101" i="3"/>
  <c r="CZ101" i="3"/>
  <c r="DB101" i="3" s="1"/>
  <c r="DA101" i="3"/>
  <c r="DC101" i="3"/>
  <c r="A102" i="3"/>
  <c r="CY102" i="3"/>
  <c r="CZ102" i="3"/>
  <c r="DB102" i="3" s="1"/>
  <c r="DA102" i="3"/>
  <c r="DC102" i="3"/>
  <c r="A103" i="3"/>
  <c r="CY103" i="3"/>
  <c r="CZ103" i="3"/>
  <c r="DB103" i="3" s="1"/>
  <c r="DA103" i="3"/>
  <c r="DC103" i="3"/>
  <c r="A104" i="3"/>
  <c r="CY104" i="3"/>
  <c r="CZ104" i="3"/>
  <c r="DA104" i="3"/>
  <c r="DB104" i="3"/>
  <c r="DC104" i="3"/>
  <c r="A105" i="3"/>
  <c r="CY105" i="3"/>
  <c r="CZ105" i="3"/>
  <c r="DB105" i="3" s="1"/>
  <c r="DA105" i="3"/>
  <c r="DC105" i="3"/>
  <c r="A106" i="3"/>
  <c r="CY106" i="3"/>
  <c r="CZ106" i="3"/>
  <c r="DB106" i="3" s="1"/>
  <c r="DA106" i="3"/>
  <c r="DC106" i="3"/>
  <c r="A107" i="3"/>
  <c r="CY107" i="3"/>
  <c r="CZ107" i="3"/>
  <c r="DA107" i="3"/>
  <c r="DB107" i="3"/>
  <c r="DC107" i="3"/>
  <c r="A108" i="3"/>
  <c r="CY108" i="3"/>
  <c r="CZ108" i="3"/>
  <c r="DB108" i="3" s="1"/>
  <c r="DA108" i="3"/>
  <c r="DC108" i="3"/>
  <c r="A109" i="3"/>
  <c r="CY109" i="3"/>
  <c r="CZ109" i="3"/>
  <c r="DB109" i="3" s="1"/>
  <c r="DA109" i="3"/>
  <c r="DC109" i="3"/>
  <c r="A110" i="3"/>
  <c r="CY110" i="3"/>
  <c r="CZ110" i="3"/>
  <c r="DB110" i="3" s="1"/>
  <c r="DA110" i="3"/>
  <c r="DC110" i="3"/>
  <c r="A111" i="3"/>
  <c r="CY111" i="3"/>
  <c r="CZ111" i="3"/>
  <c r="DB111" i="3" s="1"/>
  <c r="DA111" i="3"/>
  <c r="DC111" i="3"/>
  <c r="A112" i="3"/>
  <c r="CX112" i="3"/>
  <c r="CY112" i="3"/>
  <c r="CZ112" i="3"/>
  <c r="DA112" i="3"/>
  <c r="DB112" i="3"/>
  <c r="DC112" i="3"/>
  <c r="A113" i="3"/>
  <c r="CY113" i="3"/>
  <c r="CZ113" i="3"/>
  <c r="DB113" i="3" s="1"/>
  <c r="DA113" i="3"/>
  <c r="DC113" i="3"/>
  <c r="A114" i="3"/>
  <c r="CY114" i="3"/>
  <c r="CZ114" i="3"/>
  <c r="DB114" i="3" s="1"/>
  <c r="DA114" i="3"/>
  <c r="DC114" i="3"/>
  <c r="A115" i="3"/>
  <c r="CY115" i="3"/>
  <c r="CZ115" i="3"/>
  <c r="DA115" i="3"/>
  <c r="DB115" i="3"/>
  <c r="DC115" i="3"/>
  <c r="A116" i="3"/>
  <c r="CY116" i="3"/>
  <c r="CZ116" i="3"/>
  <c r="DB116" i="3" s="1"/>
  <c r="DA116" i="3"/>
  <c r="DC116" i="3"/>
  <c r="A117" i="3"/>
  <c r="CY117" i="3"/>
  <c r="CZ117" i="3"/>
  <c r="DB117" i="3" s="1"/>
  <c r="DA117" i="3"/>
  <c r="DC117" i="3"/>
  <c r="A118" i="3"/>
  <c r="CY118" i="3"/>
  <c r="CZ118" i="3"/>
  <c r="DB118" i="3" s="1"/>
  <c r="DA118" i="3"/>
  <c r="DC118" i="3"/>
  <c r="A119" i="3"/>
  <c r="CY119" i="3"/>
  <c r="CZ119" i="3"/>
  <c r="DA119" i="3"/>
  <c r="DB119" i="3"/>
  <c r="DC119" i="3"/>
  <c r="A120" i="3"/>
  <c r="CY120" i="3"/>
  <c r="CZ120" i="3"/>
  <c r="DB120" i="3" s="1"/>
  <c r="DA120" i="3"/>
  <c r="DC120" i="3"/>
  <c r="A121" i="3"/>
  <c r="CY121" i="3"/>
  <c r="CZ121" i="3"/>
  <c r="DB121" i="3" s="1"/>
  <c r="DA121" i="3"/>
  <c r="DC121" i="3"/>
  <c r="A122" i="3"/>
  <c r="CY122" i="3"/>
  <c r="CZ122" i="3"/>
  <c r="DB122" i="3" s="1"/>
  <c r="DA122" i="3"/>
  <c r="DC122" i="3"/>
  <c r="A123" i="3"/>
  <c r="CY123" i="3"/>
  <c r="CZ123" i="3"/>
  <c r="DB123" i="3" s="1"/>
  <c r="DA123" i="3"/>
  <c r="DC123" i="3"/>
  <c r="A124" i="3"/>
  <c r="CY124" i="3"/>
  <c r="CZ124" i="3"/>
  <c r="DA124" i="3"/>
  <c r="DB124" i="3"/>
  <c r="DC124" i="3"/>
  <c r="A125" i="3"/>
  <c r="CY125" i="3"/>
  <c r="CZ125" i="3"/>
  <c r="DB125" i="3" s="1"/>
  <c r="DA125" i="3"/>
  <c r="DC125" i="3"/>
  <c r="A126" i="3"/>
  <c r="CY126" i="3"/>
  <c r="CZ126" i="3"/>
  <c r="DB126" i="3" s="1"/>
  <c r="DA126" i="3"/>
  <c r="DC126" i="3"/>
  <c r="D12" i="1"/>
  <c r="E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DI18" i="1"/>
  <c r="DJ18" i="1"/>
  <c r="DK18" i="1"/>
  <c r="DL18" i="1"/>
  <c r="DM18" i="1"/>
  <c r="DN18" i="1"/>
  <c r="DO18" i="1"/>
  <c r="DP18" i="1"/>
  <c r="DQ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G18" i="1"/>
  <c r="EH18" i="1"/>
  <c r="EI18" i="1"/>
  <c r="EJ18" i="1"/>
  <c r="EK18" i="1"/>
  <c r="EL18" i="1"/>
  <c r="EM18" i="1"/>
  <c r="EN18" i="1"/>
  <c r="EO18" i="1"/>
  <c r="EP18" i="1"/>
  <c r="EQ18" i="1"/>
  <c r="ER18" i="1"/>
  <c r="ES18" i="1"/>
  <c r="ET18" i="1"/>
  <c r="EU18" i="1"/>
  <c r="EV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D20" i="1"/>
  <c r="E22" i="1"/>
  <c r="G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G22" i="1"/>
  <c r="EH22" i="1"/>
  <c r="EI22" i="1"/>
  <c r="EJ22" i="1"/>
  <c r="EK22" i="1"/>
  <c r="EL22" i="1"/>
  <c r="EM22" i="1"/>
  <c r="EN22" i="1"/>
  <c r="EO22" i="1"/>
  <c r="EP22" i="1"/>
  <c r="EQ22" i="1"/>
  <c r="ER22" i="1"/>
  <c r="ES22" i="1"/>
  <c r="ET22" i="1"/>
  <c r="EU22" i="1"/>
  <c r="EV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FP22" i="1"/>
  <c r="FQ22" i="1"/>
  <c r="FR22" i="1"/>
  <c r="FS22" i="1"/>
  <c r="FT22" i="1"/>
  <c r="FU22" i="1"/>
  <c r="FV22" i="1"/>
  <c r="FW22" i="1"/>
  <c r="FX22" i="1"/>
  <c r="FY22" i="1"/>
  <c r="FZ22" i="1"/>
  <c r="GA22" i="1"/>
  <c r="GB22" i="1"/>
  <c r="GC22" i="1"/>
  <c r="GD22" i="1"/>
  <c r="GE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D24" i="1"/>
  <c r="E26" i="1"/>
  <c r="Z26" i="1"/>
  <c r="AA26" i="1"/>
  <c r="AM26" i="1"/>
  <c r="AN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EF26" i="1"/>
  <c r="EG26" i="1"/>
  <c r="EH26" i="1"/>
  <c r="EI26" i="1"/>
  <c r="EJ26" i="1"/>
  <c r="EK26" i="1"/>
  <c r="EL26" i="1"/>
  <c r="EM26" i="1"/>
  <c r="EN26" i="1"/>
  <c r="EO26" i="1"/>
  <c r="EP26" i="1"/>
  <c r="EQ26" i="1"/>
  <c r="ER26" i="1"/>
  <c r="ES26" i="1"/>
  <c r="ET26" i="1"/>
  <c r="EU26" i="1"/>
  <c r="EV26" i="1"/>
  <c r="EW26" i="1"/>
  <c r="EX26" i="1"/>
  <c r="EY26" i="1"/>
  <c r="EZ26" i="1"/>
  <c r="FA26" i="1"/>
  <c r="FB26" i="1"/>
  <c r="FC26" i="1"/>
  <c r="FD26" i="1"/>
  <c r="FE26" i="1"/>
  <c r="FF26" i="1"/>
  <c r="FG26" i="1"/>
  <c r="FH26" i="1"/>
  <c r="FI26" i="1"/>
  <c r="FJ26" i="1"/>
  <c r="FK26" i="1"/>
  <c r="FL26" i="1"/>
  <c r="FM26" i="1"/>
  <c r="FN26" i="1"/>
  <c r="FO26" i="1"/>
  <c r="FP26" i="1"/>
  <c r="FQ26" i="1"/>
  <c r="FR26" i="1"/>
  <c r="FS26" i="1"/>
  <c r="FT26" i="1"/>
  <c r="FU26" i="1"/>
  <c r="FV26" i="1"/>
  <c r="FW26" i="1"/>
  <c r="FX26" i="1"/>
  <c r="FY26" i="1"/>
  <c r="FZ26" i="1"/>
  <c r="GA26" i="1"/>
  <c r="GB26" i="1"/>
  <c r="GC26" i="1"/>
  <c r="GD26" i="1"/>
  <c r="GE26" i="1"/>
  <c r="GF26" i="1"/>
  <c r="GG26" i="1"/>
  <c r="GH26" i="1"/>
  <c r="GI26" i="1"/>
  <c r="GJ26" i="1"/>
  <c r="GK26" i="1"/>
  <c r="GL26" i="1"/>
  <c r="GM26" i="1"/>
  <c r="GN26" i="1"/>
  <c r="GO26" i="1"/>
  <c r="GP26" i="1"/>
  <c r="GQ26" i="1"/>
  <c r="GR26" i="1"/>
  <c r="GS26" i="1"/>
  <c r="GT26" i="1"/>
  <c r="GU26" i="1"/>
  <c r="GV26" i="1"/>
  <c r="GW26" i="1"/>
  <c r="GX26" i="1"/>
  <c r="C28" i="1"/>
  <c r="D28" i="1"/>
  <c r="AC28" i="1"/>
  <c r="AE28" i="1"/>
  <c r="AF28" i="1"/>
  <c r="E32" i="5" s="1"/>
  <c r="AG28" i="1"/>
  <c r="CU28" i="1" s="1"/>
  <c r="T28" i="1" s="1"/>
  <c r="AH28" i="1"/>
  <c r="J31" i="5" s="1"/>
  <c r="AI28" i="1"/>
  <c r="AJ28" i="1"/>
  <c r="CX28" i="1" s="1"/>
  <c r="W28" i="1" s="1"/>
  <c r="CQ28" i="1"/>
  <c r="P28" i="1" s="1"/>
  <c r="U31" i="5" s="1"/>
  <c r="CV28" i="1"/>
  <c r="U28" i="1" s="1"/>
  <c r="FR28" i="1"/>
  <c r="BY48" i="1" s="1"/>
  <c r="GL28" i="1"/>
  <c r="GO28" i="1"/>
  <c r="GP28" i="1"/>
  <c r="GV28" i="1"/>
  <c r="HC28" i="1" s="1"/>
  <c r="GX28" i="1" s="1"/>
  <c r="C29" i="1"/>
  <c r="D29" i="1"/>
  <c r="I29" i="1"/>
  <c r="D36" i="5" s="1"/>
  <c r="AC29" i="1"/>
  <c r="CQ29" i="1" s="1"/>
  <c r="AE29" i="1"/>
  <c r="AF29" i="1"/>
  <c r="E37" i="5" s="1"/>
  <c r="AG29" i="1"/>
  <c r="CU29" i="1" s="1"/>
  <c r="AH29" i="1"/>
  <c r="J36" i="5" s="1"/>
  <c r="AI29" i="1"/>
  <c r="AJ29" i="1"/>
  <c r="CX29" i="1" s="1"/>
  <c r="W29" i="1" s="1"/>
  <c r="CV29" i="1"/>
  <c r="U29" i="1" s="1"/>
  <c r="FR29" i="1"/>
  <c r="GL29" i="1"/>
  <c r="GO29" i="1"/>
  <c r="GP29" i="1"/>
  <c r="GV29" i="1"/>
  <c r="HC29" i="1"/>
  <c r="GX29" i="1" s="1"/>
  <c r="I30" i="1"/>
  <c r="D41" i="5" s="1"/>
  <c r="AC30" i="1"/>
  <c r="E41" i="5" s="1"/>
  <c r="AE30" i="1"/>
  <c r="AD30" i="1" s="1"/>
  <c r="AF30" i="1"/>
  <c r="CT30" i="1" s="1"/>
  <c r="AG30" i="1"/>
  <c r="AH30" i="1"/>
  <c r="AI30" i="1"/>
  <c r="CW30" i="1" s="1"/>
  <c r="V30" i="1" s="1"/>
  <c r="Z41" i="5" s="1"/>
  <c r="AJ30" i="1"/>
  <c r="CX30" i="1" s="1"/>
  <c r="CU30" i="1"/>
  <c r="T30" i="1" s="1"/>
  <c r="CV30" i="1"/>
  <c r="U30" i="1" s="1"/>
  <c r="Y41" i="5" s="1"/>
  <c r="FR30" i="1"/>
  <c r="GL30" i="1"/>
  <c r="GO30" i="1"/>
  <c r="GP30" i="1"/>
  <c r="GV30" i="1"/>
  <c r="HC30" i="1" s="1"/>
  <c r="GX30" i="1" s="1"/>
  <c r="I31" i="1"/>
  <c r="D44" i="5" s="1"/>
  <c r="AC31" i="1"/>
  <c r="E44" i="5" s="1"/>
  <c r="AE31" i="1"/>
  <c r="AF31" i="1"/>
  <c r="AG31" i="1"/>
  <c r="CU31" i="1" s="1"/>
  <c r="T31" i="1" s="1"/>
  <c r="AH31" i="1"/>
  <c r="CV31" i="1" s="1"/>
  <c r="U31" i="1" s="1"/>
  <c r="Y44" i="5" s="1"/>
  <c r="AI31" i="1"/>
  <c r="CW31" i="1" s="1"/>
  <c r="AJ31" i="1"/>
  <c r="CT31" i="1"/>
  <c r="S31" i="1" s="1"/>
  <c r="V44" i="5" s="1"/>
  <c r="CX31" i="1"/>
  <c r="W31" i="1" s="1"/>
  <c r="FR31" i="1"/>
  <c r="GL31" i="1"/>
  <c r="GO31" i="1"/>
  <c r="GP31" i="1"/>
  <c r="GV31" i="1"/>
  <c r="HC31" i="1" s="1"/>
  <c r="GX31" i="1" s="1"/>
  <c r="C32" i="1"/>
  <c r="D32" i="1"/>
  <c r="I32" i="1"/>
  <c r="D47" i="5" s="1"/>
  <c r="AC32" i="1"/>
  <c r="AE32" i="1"/>
  <c r="AF32" i="1"/>
  <c r="AG32" i="1"/>
  <c r="CU32" i="1" s="1"/>
  <c r="T32" i="1" s="1"/>
  <c r="AH32" i="1"/>
  <c r="J47" i="5" s="1"/>
  <c r="AI32" i="1"/>
  <c r="AJ32" i="1"/>
  <c r="CX32" i="1" s="1"/>
  <c r="CQ32" i="1"/>
  <c r="P32" i="1" s="1"/>
  <c r="U47" i="5" s="1"/>
  <c r="FR32" i="1"/>
  <c r="GL32" i="1"/>
  <c r="GO32" i="1"/>
  <c r="GP32" i="1"/>
  <c r="GV32" i="1"/>
  <c r="HC32" i="1" s="1"/>
  <c r="GX32" i="1" s="1"/>
  <c r="I33" i="1"/>
  <c r="D54" i="5" s="1"/>
  <c r="AC33" i="1"/>
  <c r="E54" i="5" s="1"/>
  <c r="AE33" i="1"/>
  <c r="AF33" i="1"/>
  <c r="CT33" i="1" s="1"/>
  <c r="S33" i="1" s="1"/>
  <c r="V54" i="5" s="1"/>
  <c r="AG33" i="1"/>
  <c r="AH33" i="1"/>
  <c r="AI33" i="1"/>
  <c r="CW33" i="1" s="1"/>
  <c r="AJ33" i="1"/>
  <c r="CX33" i="1" s="1"/>
  <c r="W33" i="1" s="1"/>
  <c r="CQ33" i="1"/>
  <c r="CU33" i="1"/>
  <c r="T33" i="1" s="1"/>
  <c r="CV33" i="1"/>
  <c r="U33" i="1" s="1"/>
  <c r="Y54" i="5" s="1"/>
  <c r="FR33" i="1"/>
  <c r="GL33" i="1"/>
  <c r="GO33" i="1"/>
  <c r="GP33" i="1"/>
  <c r="GV33" i="1"/>
  <c r="HC33" i="1" s="1"/>
  <c r="C34" i="1"/>
  <c r="D34" i="1"/>
  <c r="I34" i="1"/>
  <c r="D57" i="5" s="1"/>
  <c r="AC34" i="1"/>
  <c r="CQ34" i="1" s="1"/>
  <c r="P34" i="1" s="1"/>
  <c r="U57" i="5" s="1"/>
  <c r="AE34" i="1"/>
  <c r="AF34" i="1"/>
  <c r="AG34" i="1"/>
  <c r="AH34" i="1"/>
  <c r="J57" i="5" s="1"/>
  <c r="AI34" i="1"/>
  <c r="AJ34" i="1"/>
  <c r="CX34" i="1" s="1"/>
  <c r="CU34" i="1"/>
  <c r="T34" i="1" s="1"/>
  <c r="CV34" i="1"/>
  <c r="U34" i="1" s="1"/>
  <c r="FR34" i="1"/>
  <c r="GL34" i="1"/>
  <c r="GO34" i="1"/>
  <c r="GP34" i="1"/>
  <c r="GV34" i="1"/>
  <c r="HC34" i="1" s="1"/>
  <c r="GX34" i="1" s="1"/>
  <c r="C35" i="1"/>
  <c r="D35" i="1"/>
  <c r="I35" i="1"/>
  <c r="D62" i="5" s="1"/>
  <c r="AC35" i="1"/>
  <c r="AE35" i="1"/>
  <c r="AF35" i="1"/>
  <c r="E63" i="5" s="1"/>
  <c r="AG35" i="1"/>
  <c r="CU35" i="1" s="1"/>
  <c r="T35" i="1" s="1"/>
  <c r="AH35" i="1"/>
  <c r="J62" i="5" s="1"/>
  <c r="AI35" i="1"/>
  <c r="J63" i="5" s="1"/>
  <c r="AJ35" i="1"/>
  <c r="CX35" i="1" s="1"/>
  <c r="W35" i="1" s="1"/>
  <c r="CS35" i="1"/>
  <c r="R35" i="1" s="1"/>
  <c r="CV35" i="1"/>
  <c r="U35" i="1" s="1"/>
  <c r="CW35" i="1"/>
  <c r="V35" i="1" s="1"/>
  <c r="FR35" i="1"/>
  <c r="GL35" i="1"/>
  <c r="GO35" i="1"/>
  <c r="GP35" i="1"/>
  <c r="GV35" i="1"/>
  <c r="HC35" i="1"/>
  <c r="GX35" i="1" s="1"/>
  <c r="I36" i="1"/>
  <c r="AC36" i="1"/>
  <c r="E69" i="5" s="1"/>
  <c r="AE36" i="1"/>
  <c r="AD36" i="1" s="1"/>
  <c r="CR36" i="1" s="1"/>
  <c r="AF36" i="1"/>
  <c r="CT36" i="1" s="1"/>
  <c r="AG36" i="1"/>
  <c r="AH36" i="1"/>
  <c r="AI36" i="1"/>
  <c r="CW36" i="1" s="1"/>
  <c r="AJ36" i="1"/>
  <c r="CX36" i="1" s="1"/>
  <c r="CQ36" i="1"/>
  <c r="CU36" i="1"/>
  <c r="CV36" i="1"/>
  <c r="U36" i="1" s="1"/>
  <c r="Y69" i="5" s="1"/>
  <c r="FR36" i="1"/>
  <c r="GL36" i="1"/>
  <c r="GO36" i="1"/>
  <c r="GP36" i="1"/>
  <c r="GV36" i="1"/>
  <c r="HC36" i="1" s="1"/>
  <c r="C37" i="1"/>
  <c r="D37" i="1"/>
  <c r="I37" i="1"/>
  <c r="D72" i="5" s="1"/>
  <c r="AC37" i="1"/>
  <c r="AE37" i="1"/>
  <c r="AF37" i="1"/>
  <c r="AG37" i="1"/>
  <c r="CU37" i="1" s="1"/>
  <c r="AH37" i="1"/>
  <c r="J72" i="5" s="1"/>
  <c r="AI37" i="1"/>
  <c r="AJ37" i="1"/>
  <c r="CX37" i="1" s="1"/>
  <c r="CQ37" i="1"/>
  <c r="P37" i="1" s="1"/>
  <c r="U72" i="5" s="1"/>
  <c r="FR37" i="1"/>
  <c r="GL37" i="1"/>
  <c r="GO37" i="1"/>
  <c r="GP37" i="1"/>
  <c r="GV37" i="1"/>
  <c r="HC37" i="1"/>
  <c r="C38" i="1"/>
  <c r="D38" i="1"/>
  <c r="I38" i="1"/>
  <c r="D79" i="5" s="1"/>
  <c r="AC38" i="1"/>
  <c r="CQ38" i="1" s="1"/>
  <c r="AE38" i="1"/>
  <c r="AF38" i="1"/>
  <c r="E80" i="5" s="1"/>
  <c r="AG38" i="1"/>
  <c r="CU38" i="1" s="1"/>
  <c r="T38" i="1" s="1"/>
  <c r="AH38" i="1"/>
  <c r="J79" i="5" s="1"/>
  <c r="AI38" i="1"/>
  <c r="AJ38" i="1"/>
  <c r="CS38" i="1"/>
  <c r="R38" i="1" s="1"/>
  <c r="CX38" i="1"/>
  <c r="W38" i="1" s="1"/>
  <c r="FR38" i="1"/>
  <c r="GL38" i="1"/>
  <c r="GO38" i="1"/>
  <c r="GP38" i="1"/>
  <c r="GV38" i="1"/>
  <c r="HC38" i="1" s="1"/>
  <c r="GX38" i="1" s="1"/>
  <c r="C39" i="1"/>
  <c r="D39" i="1"/>
  <c r="I39" i="1"/>
  <c r="D86" i="5" s="1"/>
  <c r="AC39" i="1"/>
  <c r="AD39" i="1"/>
  <c r="AE39" i="1"/>
  <c r="F87" i="5" s="1"/>
  <c r="AF39" i="1"/>
  <c r="E87" i="5" s="1"/>
  <c r="AG39" i="1"/>
  <c r="CU39" i="1" s="1"/>
  <c r="T39" i="1" s="1"/>
  <c r="AH39" i="1"/>
  <c r="AI39" i="1"/>
  <c r="J87" i="5" s="1"/>
  <c r="AJ39" i="1"/>
  <c r="CS39" i="1"/>
  <c r="R39" i="1" s="1"/>
  <c r="CT39" i="1"/>
  <c r="S39" i="1" s="1"/>
  <c r="CW39" i="1"/>
  <c r="CX39" i="1"/>
  <c r="FR39" i="1"/>
  <c r="GL39" i="1"/>
  <c r="GO39" i="1"/>
  <c r="GP39" i="1"/>
  <c r="GV39" i="1"/>
  <c r="HC39" i="1"/>
  <c r="GX39" i="1" s="1"/>
  <c r="I40" i="1"/>
  <c r="D91" i="5" s="1"/>
  <c r="AC40" i="1"/>
  <c r="AE40" i="1"/>
  <c r="AD40" i="1" s="1"/>
  <c r="CR40" i="1" s="1"/>
  <c r="Q40" i="1" s="1"/>
  <c r="W91" i="5" s="1"/>
  <c r="AF40" i="1"/>
  <c r="CT40" i="1" s="1"/>
  <c r="S40" i="1" s="1"/>
  <c r="V91" i="5" s="1"/>
  <c r="AG40" i="1"/>
  <c r="CU40" i="1" s="1"/>
  <c r="AH40" i="1"/>
  <c r="AI40" i="1"/>
  <c r="CW40" i="1" s="1"/>
  <c r="V40" i="1" s="1"/>
  <c r="Z91" i="5" s="1"/>
  <c r="AJ40" i="1"/>
  <c r="CV40" i="1"/>
  <c r="U40" i="1" s="1"/>
  <c r="Y91" i="5" s="1"/>
  <c r="CX40" i="1"/>
  <c r="W40" i="1" s="1"/>
  <c r="FR40" i="1"/>
  <c r="GL40" i="1"/>
  <c r="GO40" i="1"/>
  <c r="GP40" i="1"/>
  <c r="GV40" i="1"/>
  <c r="HC40" i="1"/>
  <c r="GX40" i="1" s="1"/>
  <c r="I41" i="1"/>
  <c r="D94" i="5" s="1"/>
  <c r="AC41" i="1"/>
  <c r="E94" i="5" s="1"/>
  <c r="AE41" i="1"/>
  <c r="AF41" i="1"/>
  <c r="CT41" i="1" s="1"/>
  <c r="AG41" i="1"/>
  <c r="CU41" i="1" s="1"/>
  <c r="T41" i="1" s="1"/>
  <c r="AH41" i="1"/>
  <c r="AI41" i="1"/>
  <c r="CW41" i="1" s="1"/>
  <c r="AJ41" i="1"/>
  <c r="CX41" i="1" s="1"/>
  <c r="CQ41" i="1"/>
  <c r="CV41" i="1"/>
  <c r="FR41" i="1"/>
  <c r="GL41" i="1"/>
  <c r="GO41" i="1"/>
  <c r="GP41" i="1"/>
  <c r="GV41" i="1"/>
  <c r="HC41" i="1" s="1"/>
  <c r="GX41" i="1" s="1"/>
  <c r="C42" i="1"/>
  <c r="D42" i="1"/>
  <c r="I42" i="1"/>
  <c r="D97" i="5" s="1"/>
  <c r="AC42" i="1"/>
  <c r="CQ42" i="1" s="1"/>
  <c r="AE42" i="1"/>
  <c r="AF42" i="1"/>
  <c r="E98" i="5" s="1"/>
  <c r="AG42" i="1"/>
  <c r="CU42" i="1" s="1"/>
  <c r="T42" i="1" s="1"/>
  <c r="AH42" i="1"/>
  <c r="J97" i="5" s="1"/>
  <c r="AI42" i="1"/>
  <c r="AJ42" i="1"/>
  <c r="CX42" i="1" s="1"/>
  <c r="W42" i="1" s="1"/>
  <c r="CT42" i="1"/>
  <c r="S42" i="1" s="1"/>
  <c r="CV42" i="1"/>
  <c r="FR42" i="1"/>
  <c r="GL42" i="1"/>
  <c r="GO42" i="1"/>
  <c r="GP42" i="1"/>
  <c r="GV42" i="1"/>
  <c r="HC42" i="1" s="1"/>
  <c r="GX42" i="1" s="1"/>
  <c r="I43" i="1"/>
  <c r="D104" i="5" s="1"/>
  <c r="AC43" i="1"/>
  <c r="E104" i="5" s="1"/>
  <c r="AE43" i="1"/>
  <c r="AF43" i="1"/>
  <c r="CT43" i="1" s="1"/>
  <c r="AG43" i="1"/>
  <c r="AH43" i="1"/>
  <c r="CV43" i="1" s="1"/>
  <c r="AI43" i="1"/>
  <c r="CW43" i="1" s="1"/>
  <c r="V43" i="1" s="1"/>
  <c r="Z104" i="5" s="1"/>
  <c r="AJ43" i="1"/>
  <c r="CX43" i="1" s="1"/>
  <c r="CU43" i="1"/>
  <c r="T43" i="1" s="1"/>
  <c r="FR43" i="1"/>
  <c r="GL43" i="1"/>
  <c r="GO43" i="1"/>
  <c r="GP43" i="1"/>
  <c r="GV43" i="1"/>
  <c r="HC43" i="1" s="1"/>
  <c r="GX43" i="1" s="1"/>
  <c r="C44" i="1"/>
  <c r="D44" i="1"/>
  <c r="I44" i="1"/>
  <c r="AC44" i="1"/>
  <c r="CQ44" i="1" s="1"/>
  <c r="AE44" i="1"/>
  <c r="AF44" i="1"/>
  <c r="E108" i="5" s="1"/>
  <c r="AG44" i="1"/>
  <c r="CU44" i="1" s="1"/>
  <c r="AH44" i="1"/>
  <c r="J107" i="5" s="1"/>
  <c r="AI44" i="1"/>
  <c r="AJ44" i="1"/>
  <c r="CV44" i="1"/>
  <c r="U44" i="1" s="1"/>
  <c r="CX44" i="1"/>
  <c r="W44" i="1" s="1"/>
  <c r="FR44" i="1"/>
  <c r="GL44" i="1"/>
  <c r="GO44" i="1"/>
  <c r="GP44" i="1"/>
  <c r="GV44" i="1"/>
  <c r="HC44" i="1"/>
  <c r="GX44" i="1" s="1"/>
  <c r="C45" i="1"/>
  <c r="D45" i="1"/>
  <c r="I45" i="1"/>
  <c r="D114" i="5" s="1"/>
  <c r="AC45" i="1"/>
  <c r="AD45" i="1"/>
  <c r="AE45" i="1"/>
  <c r="F115" i="5" s="1"/>
  <c r="AF45" i="1"/>
  <c r="E115" i="5" s="1"/>
  <c r="AG45" i="1"/>
  <c r="CU45" i="1" s="1"/>
  <c r="AH45" i="1"/>
  <c r="AI45" i="1"/>
  <c r="J115" i="5" s="1"/>
  <c r="AJ45" i="1"/>
  <c r="CS45" i="1"/>
  <c r="CT45" i="1"/>
  <c r="CX45" i="1"/>
  <c r="FR45" i="1"/>
  <c r="GL45" i="1"/>
  <c r="GO45" i="1"/>
  <c r="GP45" i="1"/>
  <c r="GV45" i="1"/>
  <c r="HC45" i="1" s="1"/>
  <c r="I46" i="1"/>
  <c r="D121" i="5" s="1"/>
  <c r="AB46" i="1"/>
  <c r="AC46" i="1"/>
  <c r="AE46" i="1"/>
  <c r="AD46" i="1" s="1"/>
  <c r="CR46" i="1" s="1"/>
  <c r="Q46" i="1" s="1"/>
  <c r="W121" i="5" s="1"/>
  <c r="AF46" i="1"/>
  <c r="CT46" i="1" s="1"/>
  <c r="S46" i="1" s="1"/>
  <c r="V121" i="5" s="1"/>
  <c r="AG46" i="1"/>
  <c r="CU46" i="1" s="1"/>
  <c r="T46" i="1" s="1"/>
  <c r="AH46" i="1"/>
  <c r="CV46" i="1" s="1"/>
  <c r="U46" i="1" s="1"/>
  <c r="Y121" i="5" s="1"/>
  <c r="AI46" i="1"/>
  <c r="CW46" i="1" s="1"/>
  <c r="V46" i="1" s="1"/>
  <c r="Z121" i="5" s="1"/>
  <c r="AJ46" i="1"/>
  <c r="CS46" i="1"/>
  <c r="R46" i="1" s="1"/>
  <c r="CX46" i="1"/>
  <c r="W46" i="1" s="1"/>
  <c r="FR46" i="1"/>
  <c r="GL46" i="1"/>
  <c r="GO46" i="1"/>
  <c r="GP46" i="1"/>
  <c r="GV46" i="1"/>
  <c r="HC46" i="1" s="1"/>
  <c r="GX46" i="1" s="1"/>
  <c r="B48" i="1"/>
  <c r="B26" i="1" s="1"/>
  <c r="C48" i="1"/>
  <c r="C26" i="1" s="1"/>
  <c r="D48" i="1"/>
  <c r="D26" i="1" s="1"/>
  <c r="F48" i="1"/>
  <c r="F26" i="1" s="1"/>
  <c r="G48" i="1"/>
  <c r="G26" i="1" s="1"/>
  <c r="BX48" i="1"/>
  <c r="AO48" i="1" s="1"/>
  <c r="F52" i="1" s="1"/>
  <c r="CK48" i="1"/>
  <c r="CK26" i="1" s="1"/>
  <c r="CL48" i="1"/>
  <c r="BC48" i="1" s="1"/>
  <c r="CM48" i="1"/>
  <c r="CM26" i="1" s="1"/>
  <c r="D78" i="1"/>
  <c r="C80" i="1"/>
  <c r="E80" i="1"/>
  <c r="Z80" i="1"/>
  <c r="AA80" i="1"/>
  <c r="AM80" i="1"/>
  <c r="AN80" i="1"/>
  <c r="AO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BR80" i="1"/>
  <c r="BS80" i="1"/>
  <c r="BT80" i="1"/>
  <c r="BU80" i="1"/>
  <c r="BV80" i="1"/>
  <c r="BW80" i="1"/>
  <c r="BX80" i="1"/>
  <c r="CN80" i="1"/>
  <c r="CO80" i="1"/>
  <c r="CP80" i="1"/>
  <c r="CQ80" i="1"/>
  <c r="CR80" i="1"/>
  <c r="CS80" i="1"/>
  <c r="CT80" i="1"/>
  <c r="CU80" i="1"/>
  <c r="CV80" i="1"/>
  <c r="CW80" i="1"/>
  <c r="CX80" i="1"/>
  <c r="CY80" i="1"/>
  <c r="CZ80" i="1"/>
  <c r="DA80" i="1"/>
  <c r="DB80" i="1"/>
  <c r="DC80" i="1"/>
  <c r="DD80" i="1"/>
  <c r="DE80" i="1"/>
  <c r="DF80" i="1"/>
  <c r="DG80" i="1"/>
  <c r="DH80" i="1"/>
  <c r="DI80" i="1"/>
  <c r="DJ80" i="1"/>
  <c r="DK80" i="1"/>
  <c r="DL80" i="1"/>
  <c r="DM80" i="1"/>
  <c r="DN80" i="1"/>
  <c r="DO80" i="1"/>
  <c r="DP80" i="1"/>
  <c r="DQ80" i="1"/>
  <c r="DR80" i="1"/>
  <c r="DS80" i="1"/>
  <c r="DT80" i="1"/>
  <c r="DU80" i="1"/>
  <c r="DV80" i="1"/>
  <c r="DW80" i="1"/>
  <c r="DX80" i="1"/>
  <c r="DY80" i="1"/>
  <c r="DZ80" i="1"/>
  <c r="EA80" i="1"/>
  <c r="EB80" i="1"/>
  <c r="EC80" i="1"/>
  <c r="ED80" i="1"/>
  <c r="EE80" i="1"/>
  <c r="EF80" i="1"/>
  <c r="EG80" i="1"/>
  <c r="EH80" i="1"/>
  <c r="EI80" i="1"/>
  <c r="EJ80" i="1"/>
  <c r="EK80" i="1"/>
  <c r="EL80" i="1"/>
  <c r="EM80" i="1"/>
  <c r="EN80" i="1"/>
  <c r="EO80" i="1"/>
  <c r="EP80" i="1"/>
  <c r="EQ80" i="1"/>
  <c r="ER80" i="1"/>
  <c r="ES80" i="1"/>
  <c r="ET80" i="1"/>
  <c r="EU80" i="1"/>
  <c r="EV80" i="1"/>
  <c r="EW80" i="1"/>
  <c r="EX80" i="1"/>
  <c r="EY80" i="1"/>
  <c r="EZ80" i="1"/>
  <c r="FA80" i="1"/>
  <c r="FB80" i="1"/>
  <c r="FC80" i="1"/>
  <c r="FD80" i="1"/>
  <c r="FE80" i="1"/>
  <c r="FF80" i="1"/>
  <c r="FG80" i="1"/>
  <c r="FH80" i="1"/>
  <c r="FI80" i="1"/>
  <c r="FJ80" i="1"/>
  <c r="FK80" i="1"/>
  <c r="FL80" i="1"/>
  <c r="FM80" i="1"/>
  <c r="FN80" i="1"/>
  <c r="FO80" i="1"/>
  <c r="FP80" i="1"/>
  <c r="FQ80" i="1"/>
  <c r="FR80" i="1"/>
  <c r="FS80" i="1"/>
  <c r="FT80" i="1"/>
  <c r="FU80" i="1"/>
  <c r="FV80" i="1"/>
  <c r="FW80" i="1"/>
  <c r="FX80" i="1"/>
  <c r="FY80" i="1"/>
  <c r="FZ80" i="1"/>
  <c r="GA80" i="1"/>
  <c r="GB80" i="1"/>
  <c r="GC80" i="1"/>
  <c r="GD80" i="1"/>
  <c r="GE80" i="1"/>
  <c r="GF80" i="1"/>
  <c r="GG80" i="1"/>
  <c r="GH80" i="1"/>
  <c r="GI80" i="1"/>
  <c r="GJ80" i="1"/>
  <c r="GK80" i="1"/>
  <c r="GL80" i="1"/>
  <c r="GM80" i="1"/>
  <c r="GN80" i="1"/>
  <c r="GO80" i="1"/>
  <c r="GP80" i="1"/>
  <c r="GQ80" i="1"/>
  <c r="GR80" i="1"/>
  <c r="GS80" i="1"/>
  <c r="GT80" i="1"/>
  <c r="GU80" i="1"/>
  <c r="GV80" i="1"/>
  <c r="GW80" i="1"/>
  <c r="GX80" i="1"/>
  <c r="C82" i="1"/>
  <c r="D82" i="1"/>
  <c r="I82" i="1"/>
  <c r="D125" i="5" s="1"/>
  <c r="AC82" i="1"/>
  <c r="CQ82" i="1" s="1"/>
  <c r="AE82" i="1"/>
  <c r="AF82" i="1"/>
  <c r="AG82" i="1"/>
  <c r="CU82" i="1" s="1"/>
  <c r="AH82" i="1"/>
  <c r="J125" i="5" s="1"/>
  <c r="AI82" i="1"/>
  <c r="AJ82" i="1"/>
  <c r="CX82" i="1" s="1"/>
  <c r="W82" i="1" s="1"/>
  <c r="CS82" i="1"/>
  <c r="FR82" i="1"/>
  <c r="GL82" i="1"/>
  <c r="GO82" i="1"/>
  <c r="GP82" i="1"/>
  <c r="GV82" i="1"/>
  <c r="HC82" i="1"/>
  <c r="I83" i="1"/>
  <c r="D132" i="5" s="1"/>
  <c r="R83" i="1"/>
  <c r="AC83" i="1"/>
  <c r="E132" i="5" s="1"/>
  <c r="AE83" i="1"/>
  <c r="AD83" i="1" s="1"/>
  <c r="AF83" i="1"/>
  <c r="CT83" i="1" s="1"/>
  <c r="S83" i="1" s="1"/>
  <c r="V132" i="5" s="1"/>
  <c r="AG83" i="1"/>
  <c r="AH83" i="1"/>
  <c r="CV83" i="1" s="1"/>
  <c r="U83" i="1" s="1"/>
  <c r="Y132" i="5" s="1"/>
  <c r="AI83" i="1"/>
  <c r="CW83" i="1" s="1"/>
  <c r="V83" i="1" s="1"/>
  <c r="Z132" i="5" s="1"/>
  <c r="AJ83" i="1"/>
  <c r="CX83" i="1" s="1"/>
  <c r="W83" i="1" s="1"/>
  <c r="CQ83" i="1"/>
  <c r="CS83" i="1"/>
  <c r="CU83" i="1"/>
  <c r="T83" i="1" s="1"/>
  <c r="FR83" i="1"/>
  <c r="GL83" i="1"/>
  <c r="GO83" i="1"/>
  <c r="GP83" i="1"/>
  <c r="GV83" i="1"/>
  <c r="HC83" i="1" s="1"/>
  <c r="GX83" i="1" s="1"/>
  <c r="C84" i="1"/>
  <c r="D84" i="1"/>
  <c r="I84" i="1"/>
  <c r="D135" i="5" s="1"/>
  <c r="AC84" i="1"/>
  <c r="AE84" i="1"/>
  <c r="AF84" i="1"/>
  <c r="E136" i="5" s="1"/>
  <c r="AG84" i="1"/>
  <c r="CU84" i="1" s="1"/>
  <c r="T84" i="1" s="1"/>
  <c r="AH84" i="1"/>
  <c r="J135" i="5" s="1"/>
  <c r="AI84" i="1"/>
  <c r="J136" i="5" s="1"/>
  <c r="AJ84" i="1"/>
  <c r="CX84" i="1" s="1"/>
  <c r="W84" i="1" s="1"/>
  <c r="CS84" i="1"/>
  <c r="R84" i="1" s="1"/>
  <c r="CW84" i="1"/>
  <c r="V84" i="1" s="1"/>
  <c r="FR84" i="1"/>
  <c r="BY89" i="1" s="1"/>
  <c r="GL84" i="1"/>
  <c r="GO84" i="1"/>
  <c r="GP84" i="1"/>
  <c r="GV84" i="1"/>
  <c r="HC84" i="1" s="1"/>
  <c r="GX84" i="1" s="1"/>
  <c r="AC85" i="1"/>
  <c r="E142" i="5" s="1"/>
  <c r="AE85" i="1"/>
  <c r="AD85" i="1" s="1"/>
  <c r="CR85" i="1" s="1"/>
  <c r="Q85" i="1" s="1"/>
  <c r="W142" i="5" s="1"/>
  <c r="AF85" i="1"/>
  <c r="AG85" i="1"/>
  <c r="CU85" i="1" s="1"/>
  <c r="T85" i="1" s="1"/>
  <c r="AH85" i="1"/>
  <c r="CV85" i="1" s="1"/>
  <c r="U85" i="1" s="1"/>
  <c r="Y142" i="5" s="1"/>
  <c r="AI85" i="1"/>
  <c r="CW85" i="1" s="1"/>
  <c r="V85" i="1" s="1"/>
  <c r="Z142" i="5" s="1"/>
  <c r="AJ85" i="1"/>
  <c r="CX85" i="1" s="1"/>
  <c r="W85" i="1" s="1"/>
  <c r="CT85" i="1"/>
  <c r="S85" i="1" s="1"/>
  <c r="V142" i="5" s="1"/>
  <c r="FR85" i="1"/>
  <c r="GL85" i="1"/>
  <c r="GO85" i="1"/>
  <c r="GP85" i="1"/>
  <c r="GV85" i="1"/>
  <c r="HC85" i="1"/>
  <c r="GX85" i="1" s="1"/>
  <c r="C86" i="1"/>
  <c r="D86" i="1"/>
  <c r="AC86" i="1"/>
  <c r="CQ86" i="1" s="1"/>
  <c r="P86" i="1" s="1"/>
  <c r="U145" i="5" s="1"/>
  <c r="AE86" i="1"/>
  <c r="F146" i="5" s="1"/>
  <c r="AF86" i="1"/>
  <c r="E146" i="5" s="1"/>
  <c r="AG86" i="1"/>
  <c r="CU86" i="1" s="1"/>
  <c r="T86" i="1" s="1"/>
  <c r="AH86" i="1"/>
  <c r="J145" i="5" s="1"/>
  <c r="AI86" i="1"/>
  <c r="AJ86" i="1"/>
  <c r="CX86" i="1" s="1"/>
  <c r="W86" i="1" s="1"/>
  <c r="CT86" i="1"/>
  <c r="S86" i="1" s="1"/>
  <c r="FR86" i="1"/>
  <c r="GL86" i="1"/>
  <c r="GO86" i="1"/>
  <c r="GP86" i="1"/>
  <c r="GV86" i="1"/>
  <c r="HC86" i="1" s="1"/>
  <c r="GX86" i="1" s="1"/>
  <c r="AC87" i="1"/>
  <c r="E152" i="5" s="1"/>
  <c r="AE87" i="1"/>
  <c r="CS87" i="1" s="1"/>
  <c r="R87" i="1" s="1"/>
  <c r="X152" i="5" s="1"/>
  <c r="AF87" i="1"/>
  <c r="AG87" i="1"/>
  <c r="CU87" i="1" s="1"/>
  <c r="T87" i="1" s="1"/>
  <c r="AH87" i="1"/>
  <c r="AI87" i="1"/>
  <c r="CW87" i="1" s="1"/>
  <c r="V87" i="1" s="1"/>
  <c r="Z152" i="5" s="1"/>
  <c r="AJ87" i="1"/>
  <c r="CT87" i="1"/>
  <c r="S87" i="1" s="1"/>
  <c r="CV87" i="1"/>
  <c r="U87" i="1" s="1"/>
  <c r="Y152" i="5" s="1"/>
  <c r="CX87" i="1"/>
  <c r="W87" i="1" s="1"/>
  <c r="FR87" i="1"/>
  <c r="GL87" i="1"/>
  <c r="GO87" i="1"/>
  <c r="GP87" i="1"/>
  <c r="GV87" i="1"/>
  <c r="HC87" i="1" s="1"/>
  <c r="GX87" i="1"/>
  <c r="B89" i="1"/>
  <c r="B80" i="1" s="1"/>
  <c r="C89" i="1"/>
  <c r="D89" i="1"/>
  <c r="D80" i="1" s="1"/>
  <c r="F89" i="1"/>
  <c r="F80" i="1" s="1"/>
  <c r="G89" i="1"/>
  <c r="G80" i="1" s="1"/>
  <c r="BX89" i="1"/>
  <c r="AO89" i="1" s="1"/>
  <c r="F93" i="1" s="1"/>
  <c r="CK89" i="1"/>
  <c r="CK80" i="1" s="1"/>
  <c r="CL89" i="1"/>
  <c r="BC89" i="1" s="1"/>
  <c r="CM89" i="1"/>
  <c r="CM80" i="1" s="1"/>
  <c r="D119" i="1"/>
  <c r="E121" i="1"/>
  <c r="Z121" i="1"/>
  <c r="AA121" i="1"/>
  <c r="AM121" i="1"/>
  <c r="AN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CL121" i="1"/>
  <c r="CN121" i="1"/>
  <c r="CO121" i="1"/>
  <c r="CP121" i="1"/>
  <c r="CQ121" i="1"/>
  <c r="CR121" i="1"/>
  <c r="CS121" i="1"/>
  <c r="CT121" i="1"/>
  <c r="CU121" i="1"/>
  <c r="CV121" i="1"/>
  <c r="CW121" i="1"/>
  <c r="CX121" i="1"/>
  <c r="CY121" i="1"/>
  <c r="CZ121" i="1"/>
  <c r="DA121" i="1"/>
  <c r="DB121" i="1"/>
  <c r="DC121" i="1"/>
  <c r="DD121" i="1"/>
  <c r="DE121" i="1"/>
  <c r="DF121" i="1"/>
  <c r="DG121" i="1"/>
  <c r="DH121" i="1"/>
  <c r="DI121" i="1"/>
  <c r="DJ121" i="1"/>
  <c r="DK121" i="1"/>
  <c r="DL121" i="1"/>
  <c r="DM121" i="1"/>
  <c r="DN121" i="1"/>
  <c r="DO121" i="1"/>
  <c r="DP121" i="1"/>
  <c r="DQ121" i="1"/>
  <c r="DR121" i="1"/>
  <c r="DS121" i="1"/>
  <c r="DT121" i="1"/>
  <c r="DU121" i="1"/>
  <c r="DV121" i="1"/>
  <c r="DW121" i="1"/>
  <c r="DX121" i="1"/>
  <c r="DY121" i="1"/>
  <c r="DZ121" i="1"/>
  <c r="EA121" i="1"/>
  <c r="EB121" i="1"/>
  <c r="EC121" i="1"/>
  <c r="ED121" i="1"/>
  <c r="EE121" i="1"/>
  <c r="EF121" i="1"/>
  <c r="EG121" i="1"/>
  <c r="EH121" i="1"/>
  <c r="EI121" i="1"/>
  <c r="EJ121" i="1"/>
  <c r="EK121" i="1"/>
  <c r="EL121" i="1"/>
  <c r="EM121" i="1"/>
  <c r="EN121" i="1"/>
  <c r="EO121" i="1"/>
  <c r="EP121" i="1"/>
  <c r="EQ121" i="1"/>
  <c r="ER121" i="1"/>
  <c r="ES121" i="1"/>
  <c r="ET121" i="1"/>
  <c r="EU121" i="1"/>
  <c r="EV121" i="1"/>
  <c r="EW121" i="1"/>
  <c r="EX121" i="1"/>
  <c r="EY121" i="1"/>
  <c r="EZ121" i="1"/>
  <c r="FA121" i="1"/>
  <c r="FB121" i="1"/>
  <c r="FC121" i="1"/>
  <c r="FD121" i="1"/>
  <c r="FE121" i="1"/>
  <c r="FF121" i="1"/>
  <c r="FG121" i="1"/>
  <c r="FH121" i="1"/>
  <c r="FI121" i="1"/>
  <c r="FJ121" i="1"/>
  <c r="FK121" i="1"/>
  <c r="FL121" i="1"/>
  <c r="FM121" i="1"/>
  <c r="FN121" i="1"/>
  <c r="FO121" i="1"/>
  <c r="FP121" i="1"/>
  <c r="FQ121" i="1"/>
  <c r="FR121" i="1"/>
  <c r="FS121" i="1"/>
  <c r="FT121" i="1"/>
  <c r="FU121" i="1"/>
  <c r="FV121" i="1"/>
  <c r="FW121" i="1"/>
  <c r="FX121" i="1"/>
  <c r="FY121" i="1"/>
  <c r="FZ121" i="1"/>
  <c r="GA121" i="1"/>
  <c r="GB121" i="1"/>
  <c r="GC121" i="1"/>
  <c r="GD121" i="1"/>
  <c r="GE121" i="1"/>
  <c r="GF121" i="1"/>
  <c r="GG121" i="1"/>
  <c r="GH121" i="1"/>
  <c r="GI121" i="1"/>
  <c r="GJ121" i="1"/>
  <c r="GK121" i="1"/>
  <c r="GL121" i="1"/>
  <c r="GM121" i="1"/>
  <c r="GN121" i="1"/>
  <c r="GO121" i="1"/>
  <c r="GP121" i="1"/>
  <c r="GQ121" i="1"/>
  <c r="GR121" i="1"/>
  <c r="GS121" i="1"/>
  <c r="GT121" i="1"/>
  <c r="GU121" i="1"/>
  <c r="GV121" i="1"/>
  <c r="GW121" i="1"/>
  <c r="GX121" i="1"/>
  <c r="C123" i="1"/>
  <c r="D123" i="1"/>
  <c r="AC123" i="1"/>
  <c r="CQ123" i="1" s="1"/>
  <c r="P123" i="1" s="1"/>
  <c r="U156" i="5" s="1"/>
  <c r="AE123" i="1"/>
  <c r="AF123" i="1"/>
  <c r="AG123" i="1"/>
  <c r="AH123" i="1"/>
  <c r="AI123" i="1"/>
  <c r="AJ123" i="1"/>
  <c r="CX123" i="1" s="1"/>
  <c r="W123" i="1" s="1"/>
  <c r="CU123" i="1"/>
  <c r="T123" i="1" s="1"/>
  <c r="FR123" i="1"/>
  <c r="GL123" i="1"/>
  <c r="GO123" i="1"/>
  <c r="GP123" i="1"/>
  <c r="GV123" i="1"/>
  <c r="HC123" i="1" s="1"/>
  <c r="GX123" i="1" s="1"/>
  <c r="C124" i="1"/>
  <c r="D124" i="1"/>
  <c r="I124" i="1"/>
  <c r="D163" i="5" s="1"/>
  <c r="AC124" i="1"/>
  <c r="CQ124" i="1" s="1"/>
  <c r="AE124" i="1"/>
  <c r="AF124" i="1"/>
  <c r="E164" i="5" s="1"/>
  <c r="AG124" i="1"/>
  <c r="CU124" i="1" s="1"/>
  <c r="AH124" i="1"/>
  <c r="J163" i="5" s="1"/>
  <c r="AI124" i="1"/>
  <c r="AJ124" i="1"/>
  <c r="CV124" i="1"/>
  <c r="CX124" i="1"/>
  <c r="W124" i="1" s="1"/>
  <c r="FR124" i="1"/>
  <c r="GL124" i="1"/>
  <c r="GO124" i="1"/>
  <c r="GP124" i="1"/>
  <c r="GV124" i="1"/>
  <c r="HC124" i="1"/>
  <c r="C125" i="1"/>
  <c r="D125" i="1"/>
  <c r="I125" i="1"/>
  <c r="D170" i="5" s="1"/>
  <c r="AC125" i="1"/>
  <c r="AE125" i="1"/>
  <c r="F171" i="5" s="1"/>
  <c r="AF125" i="1"/>
  <c r="E171" i="5" s="1"/>
  <c r="AG125" i="1"/>
  <c r="CU125" i="1" s="1"/>
  <c r="T125" i="1" s="1"/>
  <c r="AH125" i="1"/>
  <c r="AI125" i="1"/>
  <c r="J171" i="5" s="1"/>
  <c r="AJ125" i="1"/>
  <c r="CX125" i="1" s="1"/>
  <c r="W125" i="1" s="1"/>
  <c r="CT125" i="1"/>
  <c r="S125" i="1" s="1"/>
  <c r="CW125" i="1"/>
  <c r="FR125" i="1"/>
  <c r="GL125" i="1"/>
  <c r="GN125" i="1"/>
  <c r="GP125" i="1"/>
  <c r="GV125" i="1"/>
  <c r="HC125" i="1" s="1"/>
  <c r="GX125" i="1" s="1"/>
  <c r="AC126" i="1"/>
  <c r="E177" i="5" s="1"/>
  <c r="AE126" i="1"/>
  <c r="AD126" i="1" s="1"/>
  <c r="CR126" i="1" s="1"/>
  <c r="Q126" i="1" s="1"/>
  <c r="W177" i="5" s="1"/>
  <c r="AF126" i="1"/>
  <c r="AG126" i="1"/>
  <c r="CU126" i="1" s="1"/>
  <c r="T126" i="1" s="1"/>
  <c r="AH126" i="1"/>
  <c r="CV126" i="1" s="1"/>
  <c r="U126" i="1" s="1"/>
  <c r="Y177" i="5" s="1"/>
  <c r="AI126" i="1"/>
  <c r="AJ126" i="1"/>
  <c r="CX126" i="1" s="1"/>
  <c r="W126" i="1" s="1"/>
  <c r="CT126" i="1"/>
  <c r="S126" i="1" s="1"/>
  <c r="V177" i="5" s="1"/>
  <c r="CW126" i="1"/>
  <c r="V126" i="1" s="1"/>
  <c r="Z177" i="5" s="1"/>
  <c r="FR126" i="1"/>
  <c r="GL126" i="1"/>
  <c r="BZ130" i="1" s="1"/>
  <c r="BZ121" i="1" s="1"/>
  <c r="GN126" i="1"/>
  <c r="GP126" i="1"/>
  <c r="GV126" i="1"/>
  <c r="HC126" i="1"/>
  <c r="GX126" i="1" s="1"/>
  <c r="C127" i="1"/>
  <c r="D127" i="1"/>
  <c r="I127" i="1"/>
  <c r="D180" i="5" s="1"/>
  <c r="AC127" i="1"/>
  <c r="AD127" i="1"/>
  <c r="AE127" i="1"/>
  <c r="AF127" i="1"/>
  <c r="E181" i="5" s="1"/>
  <c r="AG127" i="1"/>
  <c r="CU127" i="1" s="1"/>
  <c r="T127" i="1" s="1"/>
  <c r="AH127" i="1"/>
  <c r="AI127" i="1"/>
  <c r="AJ127" i="1"/>
  <c r="CQ127" i="1"/>
  <c r="P127" i="1" s="1"/>
  <c r="U180" i="5" s="1"/>
  <c r="CT127" i="1"/>
  <c r="S127" i="1" s="1"/>
  <c r="CX127" i="1"/>
  <c r="W127" i="1" s="1"/>
  <c r="FR127" i="1"/>
  <c r="GL127" i="1"/>
  <c r="GN127" i="1"/>
  <c r="GP127" i="1"/>
  <c r="GV127" i="1"/>
  <c r="HC127" i="1" s="1"/>
  <c r="GX127" i="1"/>
  <c r="I128" i="1"/>
  <c r="D187" i="5" s="1"/>
  <c r="AC128" i="1"/>
  <c r="E187" i="5" s="1"/>
  <c r="AD128" i="1"/>
  <c r="CR128" i="1" s="1"/>
  <c r="AE128" i="1"/>
  <c r="AF128" i="1"/>
  <c r="AG128" i="1"/>
  <c r="AH128" i="1"/>
  <c r="CV128" i="1" s="1"/>
  <c r="AI128" i="1"/>
  <c r="AJ128" i="1"/>
  <c r="CX128" i="1" s="1"/>
  <c r="W128" i="1" s="1"/>
  <c r="CQ128" i="1"/>
  <c r="P128" i="1" s="1"/>
  <c r="U187" i="5" s="1"/>
  <c r="CS128" i="1"/>
  <c r="R128" i="1" s="1"/>
  <c r="X187" i="5" s="1"/>
  <c r="CU128" i="1"/>
  <c r="T128" i="1" s="1"/>
  <c r="CW128" i="1"/>
  <c r="V128" i="1" s="1"/>
  <c r="Z187" i="5" s="1"/>
  <c r="FR128" i="1"/>
  <c r="GL128" i="1"/>
  <c r="GN128" i="1"/>
  <c r="GP128" i="1"/>
  <c r="GV128" i="1"/>
  <c r="HC128" i="1" s="1"/>
  <c r="GX128" i="1" s="1"/>
  <c r="B130" i="1"/>
  <c r="B121" i="1" s="1"/>
  <c r="C130" i="1"/>
  <c r="C121" i="1" s="1"/>
  <c r="D130" i="1"/>
  <c r="D121" i="1" s="1"/>
  <c r="F130" i="1"/>
  <c r="F121" i="1" s="1"/>
  <c r="G130" i="1"/>
  <c r="G121" i="1" s="1"/>
  <c r="BX130" i="1"/>
  <c r="BX121" i="1" s="1"/>
  <c r="BY130" i="1"/>
  <c r="CK130" i="1"/>
  <c r="CK121" i="1" s="1"/>
  <c r="CL130" i="1"/>
  <c r="BC130" i="1" s="1"/>
  <c r="CM130" i="1"/>
  <c r="BD130" i="1" s="1"/>
  <c r="F155" i="1" s="1"/>
  <c r="D160" i="1"/>
  <c r="E162" i="1"/>
  <c r="G162" i="1"/>
  <c r="Z162" i="1"/>
  <c r="AA162" i="1"/>
  <c r="AM162" i="1"/>
  <c r="AN162" i="1"/>
  <c r="BE162" i="1"/>
  <c r="BF162" i="1"/>
  <c r="BG162" i="1"/>
  <c r="BH162" i="1"/>
  <c r="BI162" i="1"/>
  <c r="BJ162" i="1"/>
  <c r="BK162" i="1"/>
  <c r="BL162" i="1"/>
  <c r="BM162" i="1"/>
  <c r="BN162" i="1"/>
  <c r="BO162" i="1"/>
  <c r="BP162" i="1"/>
  <c r="BQ162" i="1"/>
  <c r="BR162" i="1"/>
  <c r="BS162" i="1"/>
  <c r="BT162" i="1"/>
  <c r="BU162" i="1"/>
  <c r="BV162" i="1"/>
  <c r="BW162" i="1"/>
  <c r="CN162" i="1"/>
  <c r="CO162" i="1"/>
  <c r="CP162" i="1"/>
  <c r="CQ162" i="1"/>
  <c r="CR162" i="1"/>
  <c r="CS162" i="1"/>
  <c r="CT162" i="1"/>
  <c r="CU162" i="1"/>
  <c r="CV162" i="1"/>
  <c r="CW162" i="1"/>
  <c r="CX162" i="1"/>
  <c r="CY162" i="1"/>
  <c r="CZ162" i="1"/>
  <c r="DA162" i="1"/>
  <c r="DB162" i="1"/>
  <c r="DC162" i="1"/>
  <c r="DD162" i="1"/>
  <c r="DE162" i="1"/>
  <c r="DF162" i="1"/>
  <c r="DG162" i="1"/>
  <c r="DH162" i="1"/>
  <c r="DI162" i="1"/>
  <c r="DJ162" i="1"/>
  <c r="DK162" i="1"/>
  <c r="DL162" i="1"/>
  <c r="DM162" i="1"/>
  <c r="DN162" i="1"/>
  <c r="DO162" i="1"/>
  <c r="DP162" i="1"/>
  <c r="DQ162" i="1"/>
  <c r="DR162" i="1"/>
  <c r="DS162" i="1"/>
  <c r="DT162" i="1"/>
  <c r="DU162" i="1"/>
  <c r="DV162" i="1"/>
  <c r="DW162" i="1"/>
  <c r="DX162" i="1"/>
  <c r="DY162" i="1"/>
  <c r="DZ162" i="1"/>
  <c r="EA162" i="1"/>
  <c r="EB162" i="1"/>
  <c r="EC162" i="1"/>
  <c r="ED162" i="1"/>
  <c r="EE162" i="1"/>
  <c r="EF162" i="1"/>
  <c r="EG162" i="1"/>
  <c r="EH162" i="1"/>
  <c r="EI162" i="1"/>
  <c r="EJ162" i="1"/>
  <c r="EK162" i="1"/>
  <c r="EL162" i="1"/>
  <c r="EM162" i="1"/>
  <c r="EN162" i="1"/>
  <c r="EO162" i="1"/>
  <c r="EP162" i="1"/>
  <c r="EQ162" i="1"/>
  <c r="ER162" i="1"/>
  <c r="ES162" i="1"/>
  <c r="ET162" i="1"/>
  <c r="EU162" i="1"/>
  <c r="EV162" i="1"/>
  <c r="EW162" i="1"/>
  <c r="EX162" i="1"/>
  <c r="EY162" i="1"/>
  <c r="EZ162" i="1"/>
  <c r="FA162" i="1"/>
  <c r="FB162" i="1"/>
  <c r="FC162" i="1"/>
  <c r="FD162" i="1"/>
  <c r="FE162" i="1"/>
  <c r="FF162" i="1"/>
  <c r="FG162" i="1"/>
  <c r="FH162" i="1"/>
  <c r="FI162" i="1"/>
  <c r="FJ162" i="1"/>
  <c r="FK162" i="1"/>
  <c r="FL162" i="1"/>
  <c r="FM162" i="1"/>
  <c r="FN162" i="1"/>
  <c r="FO162" i="1"/>
  <c r="FP162" i="1"/>
  <c r="FQ162" i="1"/>
  <c r="FR162" i="1"/>
  <c r="FS162" i="1"/>
  <c r="FT162" i="1"/>
  <c r="FU162" i="1"/>
  <c r="FV162" i="1"/>
  <c r="FW162" i="1"/>
  <c r="FX162" i="1"/>
  <c r="FY162" i="1"/>
  <c r="FZ162" i="1"/>
  <c r="GA162" i="1"/>
  <c r="GB162" i="1"/>
  <c r="GC162" i="1"/>
  <c r="GD162" i="1"/>
  <c r="GE162" i="1"/>
  <c r="GF162" i="1"/>
  <c r="GG162" i="1"/>
  <c r="GH162" i="1"/>
  <c r="GI162" i="1"/>
  <c r="GJ162" i="1"/>
  <c r="GK162" i="1"/>
  <c r="GL162" i="1"/>
  <c r="GM162" i="1"/>
  <c r="GN162" i="1"/>
  <c r="GO162" i="1"/>
  <c r="GP162" i="1"/>
  <c r="GQ162" i="1"/>
  <c r="GR162" i="1"/>
  <c r="GS162" i="1"/>
  <c r="GT162" i="1"/>
  <c r="GU162" i="1"/>
  <c r="GV162" i="1"/>
  <c r="GW162" i="1"/>
  <c r="GX162" i="1"/>
  <c r="C164" i="1"/>
  <c r="D164" i="1"/>
  <c r="I164" i="1"/>
  <c r="D191" i="5" s="1"/>
  <c r="AC164" i="1"/>
  <c r="AE164" i="1"/>
  <c r="F192" i="5" s="1"/>
  <c r="AF164" i="1"/>
  <c r="AG164" i="1"/>
  <c r="AH164" i="1"/>
  <c r="AI164" i="1"/>
  <c r="J192" i="5" s="1"/>
  <c r="AJ164" i="1"/>
  <c r="CX164" i="1" s="1"/>
  <c r="CQ164" i="1"/>
  <c r="CU164" i="1"/>
  <c r="T164" i="1" s="1"/>
  <c r="FR164" i="1"/>
  <c r="GL164" i="1"/>
  <c r="GO164" i="1"/>
  <c r="GP164" i="1"/>
  <c r="GV164" i="1"/>
  <c r="HC164" i="1"/>
  <c r="I165" i="1"/>
  <c r="D196" i="5" s="1"/>
  <c r="AC165" i="1"/>
  <c r="AE165" i="1"/>
  <c r="AD165" i="1" s="1"/>
  <c r="CR165" i="1" s="1"/>
  <c r="AF165" i="1"/>
  <c r="CT165" i="1" s="1"/>
  <c r="S165" i="1" s="1"/>
  <c r="V196" i="5" s="1"/>
  <c r="AG165" i="1"/>
  <c r="CU165" i="1" s="1"/>
  <c r="AH165" i="1"/>
  <c r="AI165" i="1"/>
  <c r="CW165" i="1" s="1"/>
  <c r="AJ165" i="1"/>
  <c r="CX165" i="1" s="1"/>
  <c r="CS165" i="1"/>
  <c r="R165" i="1" s="1"/>
  <c r="X196" i="5" s="1"/>
  <c r="CV165" i="1"/>
  <c r="FR165" i="1"/>
  <c r="GL165" i="1"/>
  <c r="GO165" i="1"/>
  <c r="GP165" i="1"/>
  <c r="GV165" i="1"/>
  <c r="HC165" i="1"/>
  <c r="GX165" i="1" s="1"/>
  <c r="I166" i="1"/>
  <c r="D199" i="5" s="1"/>
  <c r="R166" i="1"/>
  <c r="AC166" i="1"/>
  <c r="E199" i="5" s="1"/>
  <c r="AD166" i="1"/>
  <c r="AB166" i="1" s="1"/>
  <c r="AE166" i="1"/>
  <c r="AF166" i="1"/>
  <c r="CT166" i="1" s="1"/>
  <c r="S166" i="1" s="1"/>
  <c r="AG166" i="1"/>
  <c r="CU166" i="1" s="1"/>
  <c r="T166" i="1" s="1"/>
  <c r="AH166" i="1"/>
  <c r="CV166" i="1" s="1"/>
  <c r="U166" i="1" s="1"/>
  <c r="Y199" i="5" s="1"/>
  <c r="AI166" i="1"/>
  <c r="AJ166" i="1"/>
  <c r="CX166" i="1" s="1"/>
  <c r="W166" i="1" s="1"/>
  <c r="CQ166" i="1"/>
  <c r="P166" i="1" s="1"/>
  <c r="CR166" i="1"/>
  <c r="Q166" i="1" s="1"/>
  <c r="W199" i="5" s="1"/>
  <c r="CS166" i="1"/>
  <c r="CW166" i="1"/>
  <c r="V166" i="1" s="1"/>
  <c r="Z199" i="5" s="1"/>
  <c r="FR166" i="1"/>
  <c r="GL166" i="1"/>
  <c r="GO166" i="1"/>
  <c r="GP166" i="1"/>
  <c r="GV166" i="1"/>
  <c r="HC166" i="1" s="1"/>
  <c r="GX166" i="1" s="1"/>
  <c r="C167" i="1"/>
  <c r="D167" i="1"/>
  <c r="I167" i="1"/>
  <c r="D202" i="5" s="1"/>
  <c r="AC167" i="1"/>
  <c r="AE167" i="1"/>
  <c r="AF167" i="1"/>
  <c r="E203" i="5" s="1"/>
  <c r="AG167" i="1"/>
  <c r="CU167" i="1" s="1"/>
  <c r="T167" i="1" s="1"/>
  <c r="AH167" i="1"/>
  <c r="J202" i="5" s="1"/>
  <c r="AI167" i="1"/>
  <c r="J203" i="5" s="1"/>
  <c r="AJ167" i="1"/>
  <c r="CX167" i="1" s="1"/>
  <c r="CV167" i="1"/>
  <c r="CW167" i="1"/>
  <c r="V167" i="1" s="1"/>
  <c r="FR167" i="1"/>
  <c r="GL167" i="1"/>
  <c r="GO167" i="1"/>
  <c r="GP167" i="1"/>
  <c r="CD170" i="1" s="1"/>
  <c r="GV167" i="1"/>
  <c r="HC167" i="1"/>
  <c r="I168" i="1"/>
  <c r="D209" i="5" s="1"/>
  <c r="AC168" i="1"/>
  <c r="E209" i="5" s="1"/>
  <c r="AE168" i="1"/>
  <c r="AD168" i="1" s="1"/>
  <c r="CR168" i="1" s="1"/>
  <c r="Q168" i="1" s="1"/>
  <c r="W209" i="5" s="1"/>
  <c r="AF168" i="1"/>
  <c r="CT168" i="1" s="1"/>
  <c r="S168" i="1" s="1"/>
  <c r="AG168" i="1"/>
  <c r="AH168" i="1"/>
  <c r="CV168" i="1" s="1"/>
  <c r="U168" i="1" s="1"/>
  <c r="Y209" i="5" s="1"/>
  <c r="AI168" i="1"/>
  <c r="CW168" i="1" s="1"/>
  <c r="V168" i="1" s="1"/>
  <c r="Z209" i="5" s="1"/>
  <c r="AJ168" i="1"/>
  <c r="CX168" i="1" s="1"/>
  <c r="W168" i="1" s="1"/>
  <c r="CU168" i="1"/>
  <c r="T168" i="1" s="1"/>
  <c r="FR168" i="1"/>
  <c r="GL168" i="1"/>
  <c r="GO168" i="1"/>
  <c r="GP168" i="1"/>
  <c r="GV168" i="1"/>
  <c r="HC168" i="1" s="1"/>
  <c r="GX168" i="1"/>
  <c r="B170" i="1"/>
  <c r="B162" i="1" s="1"/>
  <c r="C170" i="1"/>
  <c r="C162" i="1" s="1"/>
  <c r="D170" i="1"/>
  <c r="D162" i="1" s="1"/>
  <c r="F170" i="1"/>
  <c r="F162" i="1" s="1"/>
  <c r="G170" i="1"/>
  <c r="BX170" i="1"/>
  <c r="AO170" i="1" s="1"/>
  <c r="CK170" i="1"/>
  <c r="BB170" i="1" s="1"/>
  <c r="BB162" i="1" s="1"/>
  <c r="CL170" i="1"/>
  <c r="BC170" i="1" s="1"/>
  <c r="CM170" i="1"/>
  <c r="B200" i="1"/>
  <c r="B22" i="1" s="1"/>
  <c r="C200" i="1"/>
  <c r="C22" i="1" s="1"/>
  <c r="D200" i="1"/>
  <c r="D22" i="1" s="1"/>
  <c r="F200" i="1"/>
  <c r="F22" i="1" s="1"/>
  <c r="G200" i="1"/>
  <c r="F236" i="1"/>
  <c r="F376" i="1" s="1"/>
  <c r="F237" i="1"/>
  <c r="G214" i="5" s="1"/>
  <c r="F249" i="1"/>
  <c r="G220" i="5" s="1"/>
  <c r="F260" i="1"/>
  <c r="G225" i="5" s="1"/>
  <c r="F261" i="1"/>
  <c r="G226" i="5" s="1"/>
  <c r="F273" i="1"/>
  <c r="F284" i="1"/>
  <c r="F285" i="1"/>
  <c r="F296" i="1" s="1"/>
  <c r="F297" i="1"/>
  <c r="G231" i="5" s="1"/>
  <c r="F308" i="1"/>
  <c r="G235" i="5" s="1"/>
  <c r="F309" i="1"/>
  <c r="F320" i="1" s="1"/>
  <c r="F321" i="1"/>
  <c r="F332" i="1"/>
  <c r="F335" i="1"/>
  <c r="F333" i="1" s="1"/>
  <c r="F344" i="1" s="1"/>
  <c r="F347" i="1"/>
  <c r="F345" i="1" s="1"/>
  <c r="F356" i="1"/>
  <c r="F363" i="1"/>
  <c r="F364" i="1"/>
  <c r="G238" i="5" s="1"/>
  <c r="F365" i="1"/>
  <c r="G239" i="5" s="1"/>
  <c r="F367" i="1"/>
  <c r="F370" i="1" s="1"/>
  <c r="F368" i="1"/>
  <c r="F369" i="1"/>
  <c r="G241" i="5" s="1"/>
  <c r="F371" i="1"/>
  <c r="F373" i="1" s="1"/>
  <c r="I19" i="5" s="1"/>
  <c r="F372" i="1"/>
  <c r="B380" i="1"/>
  <c r="B18" i="1" s="1"/>
  <c r="C380" i="1"/>
  <c r="C18" i="1" s="1"/>
  <c r="D380" i="1"/>
  <c r="D18" i="1" s="1"/>
  <c r="F380" i="1"/>
  <c r="F18" i="1" s="1"/>
  <c r="G380" i="1"/>
  <c r="G18" i="1" s="1"/>
  <c r="E16" i="2"/>
  <c r="E18" i="2" s="1"/>
  <c r="V145" i="5" l="1"/>
  <c r="H145" i="5"/>
  <c r="AP89" i="1"/>
  <c r="BY80" i="1"/>
  <c r="K62" i="5"/>
  <c r="Y62" i="5"/>
  <c r="H170" i="5"/>
  <c r="V170" i="5"/>
  <c r="CZ46" i="1"/>
  <c r="Y46" i="1" s="1"/>
  <c r="AB121" i="5" s="1"/>
  <c r="X121" i="5"/>
  <c r="I63" i="5"/>
  <c r="X62" i="5"/>
  <c r="K36" i="5"/>
  <c r="Y36" i="5"/>
  <c r="CD162" i="1"/>
  <c r="AU170" i="1"/>
  <c r="AB83" i="1"/>
  <c r="CR83" i="1"/>
  <c r="Q83" i="1" s="1"/>
  <c r="W132" i="5" s="1"/>
  <c r="V86" i="5"/>
  <c r="H86" i="5"/>
  <c r="V209" i="5"/>
  <c r="K203" i="5"/>
  <c r="Z202" i="5"/>
  <c r="H180" i="5"/>
  <c r="V180" i="5"/>
  <c r="CV127" i="1"/>
  <c r="U127" i="1" s="1"/>
  <c r="J180" i="5"/>
  <c r="CQ126" i="1"/>
  <c r="P126" i="1" s="1"/>
  <c r="U177" i="5" s="1"/>
  <c r="CV82" i="1"/>
  <c r="U82" i="1" s="1"/>
  <c r="CR45" i="1"/>
  <c r="F114" i="5"/>
  <c r="V97" i="5"/>
  <c r="H97" i="5"/>
  <c r="X79" i="5"/>
  <c r="I80" i="5"/>
  <c r="CW34" i="1"/>
  <c r="V34" i="1" s="1"/>
  <c r="J58" i="5"/>
  <c r="G16" i="2"/>
  <c r="G18" i="2" s="1"/>
  <c r="I16" i="5"/>
  <c r="U167" i="1"/>
  <c r="W167" i="1"/>
  <c r="CP166" i="1"/>
  <c r="O166" i="1" s="1"/>
  <c r="U199" i="5"/>
  <c r="W165" i="1"/>
  <c r="GX164" i="1"/>
  <c r="BZ170" i="1"/>
  <c r="CS164" i="1"/>
  <c r="R164" i="1" s="1"/>
  <c r="CV164" i="1"/>
  <c r="J191" i="5"/>
  <c r="AD164" i="1"/>
  <c r="U124" i="1"/>
  <c r="CW124" i="1"/>
  <c r="V124" i="1" s="1"/>
  <c r="J164" i="5"/>
  <c r="AD124" i="1"/>
  <c r="F164" i="5"/>
  <c r="BD121" i="1"/>
  <c r="CD89" i="1"/>
  <c r="CS85" i="1"/>
  <c r="R85" i="1" s="1"/>
  <c r="X142" i="5" s="1"/>
  <c r="Z135" i="5"/>
  <c r="K136" i="5"/>
  <c r="CC89" i="1"/>
  <c r="BD48" i="1"/>
  <c r="Y107" i="5"/>
  <c r="K107" i="5"/>
  <c r="CQ43" i="1"/>
  <c r="P43" i="1" s="1"/>
  <c r="U104" i="5" s="1"/>
  <c r="V41" i="1"/>
  <c r="Z94" i="5" s="1"/>
  <c r="CQ40" i="1"/>
  <c r="P40" i="1" s="1"/>
  <c r="E91" i="5"/>
  <c r="X86" i="5"/>
  <c r="I87" i="5"/>
  <c r="CT37" i="1"/>
  <c r="S37" i="1" s="1"/>
  <c r="E73" i="5"/>
  <c r="V33" i="1"/>
  <c r="Z54" i="5" s="1"/>
  <c r="CT32" i="1"/>
  <c r="E48" i="5"/>
  <c r="CQ31" i="1"/>
  <c r="P31" i="1" s="1"/>
  <c r="U44" i="5" s="1"/>
  <c r="CW29" i="1"/>
  <c r="J37" i="5"/>
  <c r="AD29" i="1"/>
  <c r="F37" i="5"/>
  <c r="Y31" i="5"/>
  <c r="K31" i="5"/>
  <c r="CX119" i="3"/>
  <c r="CX44" i="3"/>
  <c r="CR127" i="1"/>
  <c r="Q127" i="1" s="1"/>
  <c r="F180" i="5"/>
  <c r="AD44" i="1"/>
  <c r="F108" i="5"/>
  <c r="CV39" i="1"/>
  <c r="J86" i="5"/>
  <c r="AD34" i="1"/>
  <c r="F57" i="5" s="1"/>
  <c r="F58" i="5"/>
  <c r="BX26" i="1"/>
  <c r="J16" i="2"/>
  <c r="J18" i="2" s="1"/>
  <c r="F377" i="1"/>
  <c r="CS168" i="1"/>
  <c r="R168" i="1" s="1"/>
  <c r="GX167" i="1"/>
  <c r="CT167" i="1"/>
  <c r="S167" i="1" s="1"/>
  <c r="AD167" i="1"/>
  <c r="F203" i="5"/>
  <c r="CY166" i="1"/>
  <c r="X166" i="1" s="1"/>
  <c r="AA199" i="5" s="1"/>
  <c r="V199" i="5"/>
  <c r="CZ166" i="1"/>
  <c r="Y166" i="1" s="1"/>
  <c r="AB199" i="5" s="1"/>
  <c r="X199" i="5"/>
  <c r="U165" i="1"/>
  <c r="Y196" i="5" s="1"/>
  <c r="V165" i="1"/>
  <c r="Z196" i="5" s="1"/>
  <c r="Q165" i="1"/>
  <c r="W196" i="5" s="1"/>
  <c r="P164" i="1"/>
  <c r="U191" i="5" s="1"/>
  <c r="CL162" i="1"/>
  <c r="AB128" i="1"/>
  <c r="GX124" i="1"/>
  <c r="CT124" i="1"/>
  <c r="S124" i="1" s="1"/>
  <c r="P124" i="1"/>
  <c r="U163" i="5" s="1"/>
  <c r="CT123" i="1"/>
  <c r="S123" i="1" s="1"/>
  <c r="E157" i="5"/>
  <c r="CY87" i="1"/>
  <c r="X87" i="1" s="1"/>
  <c r="AA152" i="5" s="1"/>
  <c r="V152" i="5"/>
  <c r="CV86" i="1"/>
  <c r="U86" i="1" s="1"/>
  <c r="AH89" i="1" s="1"/>
  <c r="CV84" i="1"/>
  <c r="U84" i="1" s="1"/>
  <c r="AJ89" i="1"/>
  <c r="CT82" i="1"/>
  <c r="S82" i="1" s="1"/>
  <c r="E126" i="5"/>
  <c r="CW45" i="1"/>
  <c r="CT44" i="1"/>
  <c r="S44" i="1" s="1"/>
  <c r="T44" i="1"/>
  <c r="CW42" i="1"/>
  <c r="V42" i="1" s="1"/>
  <c r="J98" i="5"/>
  <c r="AD42" i="1"/>
  <c r="F98" i="5"/>
  <c r="T40" i="1"/>
  <c r="W39" i="1"/>
  <c r="CV38" i="1"/>
  <c r="U38" i="1" s="1"/>
  <c r="CW38" i="1"/>
  <c r="V38" i="1" s="1"/>
  <c r="J80" i="5"/>
  <c r="AD38" i="1"/>
  <c r="F80" i="5"/>
  <c r="CV37" i="1"/>
  <c r="CW37" i="1"/>
  <c r="V37" i="1" s="1"/>
  <c r="J73" i="5"/>
  <c r="AD37" i="1"/>
  <c r="F72" i="5" s="1"/>
  <c r="F73" i="5"/>
  <c r="CS36" i="1"/>
  <c r="R36" i="1" s="1"/>
  <c r="X69" i="5" s="1"/>
  <c r="CT35" i="1"/>
  <c r="S35" i="1" s="1"/>
  <c r="AD35" i="1"/>
  <c r="F63" i="5"/>
  <c r="GX33" i="1"/>
  <c r="CV32" i="1"/>
  <c r="U32" i="1" s="1"/>
  <c r="CW32" i="1"/>
  <c r="V32" i="1" s="1"/>
  <c r="J48" i="5"/>
  <c r="AD32" i="1"/>
  <c r="F47" i="5" s="1"/>
  <c r="F48" i="5"/>
  <c r="CQ30" i="1"/>
  <c r="P30" i="1" s="1"/>
  <c r="U41" i="5" s="1"/>
  <c r="CW28" i="1"/>
  <c r="V28" i="1" s="1"/>
  <c r="J32" i="5"/>
  <c r="AD28" i="1"/>
  <c r="F32" i="5"/>
  <c r="CX20" i="3"/>
  <c r="CQ125" i="1"/>
  <c r="P125" i="1" s="1"/>
  <c r="U170" i="5" s="1"/>
  <c r="CV123" i="1"/>
  <c r="U123" i="1" s="1"/>
  <c r="J156" i="5"/>
  <c r="I136" i="5"/>
  <c r="X135" i="5"/>
  <c r="CZ83" i="1"/>
  <c r="Y83" i="1" s="1"/>
  <c r="AB132" i="5" s="1"/>
  <c r="X132" i="5"/>
  <c r="CV45" i="1"/>
  <c r="J114" i="5"/>
  <c r="CW44" i="1"/>
  <c r="V44" i="1" s="1"/>
  <c r="J108" i="5"/>
  <c r="CR39" i="1"/>
  <c r="F86" i="5"/>
  <c r="K63" i="5"/>
  <c r="Z62" i="5"/>
  <c r="K57" i="5"/>
  <c r="Y57" i="5"/>
  <c r="G240" i="5"/>
  <c r="F366" i="1"/>
  <c r="F272" i="1"/>
  <c r="G230" i="5" s="1"/>
  <c r="F248" i="1"/>
  <c r="CQ168" i="1"/>
  <c r="P168" i="1" s="1"/>
  <c r="U209" i="5" s="1"/>
  <c r="CS167" i="1"/>
  <c r="R167" i="1" s="1"/>
  <c r="CQ165" i="1"/>
  <c r="P165" i="1" s="1"/>
  <c r="U196" i="5" s="1"/>
  <c r="E196" i="5"/>
  <c r="CW164" i="1"/>
  <c r="V164" i="1" s="1"/>
  <c r="W164" i="1"/>
  <c r="CT164" i="1"/>
  <c r="S164" i="1" s="1"/>
  <c r="E192" i="5"/>
  <c r="CK162" i="1"/>
  <c r="CT128" i="1"/>
  <c r="S128" i="1" s="1"/>
  <c r="CW127" i="1"/>
  <c r="V127" i="1" s="1"/>
  <c r="J181" i="5"/>
  <c r="CS127" i="1"/>
  <c r="R127" i="1" s="1"/>
  <c r="F181" i="5"/>
  <c r="CS126" i="1"/>
  <c r="R126" i="1" s="1"/>
  <c r="X177" i="5" s="1"/>
  <c r="CS125" i="1"/>
  <c r="R125" i="1" s="1"/>
  <c r="CV125" i="1"/>
  <c r="J170" i="5"/>
  <c r="AD125" i="1"/>
  <c r="CS124" i="1"/>
  <c r="R124" i="1" s="1"/>
  <c r="T124" i="1"/>
  <c r="CW123" i="1"/>
  <c r="V123" i="1" s="1"/>
  <c r="J157" i="5"/>
  <c r="AD123" i="1"/>
  <c r="F156" i="5" s="1"/>
  <c r="F157" i="5"/>
  <c r="CM121" i="1"/>
  <c r="BB89" i="1"/>
  <c r="BB80" i="1" s="1"/>
  <c r="CZ87" i="1"/>
  <c r="Y87" i="1" s="1"/>
  <c r="AB152" i="5" s="1"/>
  <c r="CW86" i="1"/>
  <c r="V86" i="1" s="1"/>
  <c r="J146" i="5"/>
  <c r="CT84" i="1"/>
  <c r="S84" i="1" s="1"/>
  <c r="AD84" i="1"/>
  <c r="F136" i="5"/>
  <c r="P83" i="1"/>
  <c r="U132" i="5" s="1"/>
  <c r="CW82" i="1"/>
  <c r="V82" i="1" s="1"/>
  <c r="J126" i="5"/>
  <c r="AD82" i="1"/>
  <c r="F126" i="5"/>
  <c r="CQ46" i="1"/>
  <c r="P46" i="1" s="1"/>
  <c r="E121" i="5"/>
  <c r="CX52" i="3"/>
  <c r="D107" i="5"/>
  <c r="U42" i="1"/>
  <c r="P42" i="1"/>
  <c r="U97" i="5" s="1"/>
  <c r="P41" i="1"/>
  <c r="U94" i="5" s="1"/>
  <c r="CT38" i="1"/>
  <c r="S38" i="1" s="1"/>
  <c r="P36" i="1"/>
  <c r="U69" i="5" s="1"/>
  <c r="D69" i="5"/>
  <c r="CT34" i="1"/>
  <c r="E58" i="5"/>
  <c r="P33" i="1"/>
  <c r="U54" i="5" s="1"/>
  <c r="BZ48" i="1"/>
  <c r="AQ48" i="1" s="1"/>
  <c r="AQ26" i="1" s="1"/>
  <c r="V31" i="1"/>
  <c r="Z44" i="5" s="1"/>
  <c r="CS29" i="1"/>
  <c r="R29" i="1" s="1"/>
  <c r="CS28" i="1"/>
  <c r="R28" i="1" s="1"/>
  <c r="CL26" i="1"/>
  <c r="CX12" i="3"/>
  <c r="AU89" i="1"/>
  <c r="CD80" i="1"/>
  <c r="F174" i="1"/>
  <c r="AO162" i="1"/>
  <c r="CY165" i="1"/>
  <c r="X165" i="1" s="1"/>
  <c r="AA196" i="5" s="1"/>
  <c r="CZ165" i="1"/>
  <c r="Y165" i="1" s="1"/>
  <c r="AB196" i="5" s="1"/>
  <c r="CY164" i="1"/>
  <c r="X164" i="1" s="1"/>
  <c r="AA191" i="5" s="1"/>
  <c r="AJ80" i="1"/>
  <c r="W89" i="1"/>
  <c r="AJ130" i="1"/>
  <c r="BC162" i="1"/>
  <c r="F186" i="1"/>
  <c r="GM166" i="1"/>
  <c r="GN166" i="1"/>
  <c r="CJ170" i="1"/>
  <c r="AJ170" i="1"/>
  <c r="AB164" i="1"/>
  <c r="E191" i="5" s="1"/>
  <c r="AB123" i="1"/>
  <c r="E156" i="5" s="1"/>
  <c r="CR123" i="1"/>
  <c r="Q123" i="1" s="1"/>
  <c r="BY26" i="1"/>
  <c r="CI48" i="1"/>
  <c r="AP48" i="1"/>
  <c r="CP168" i="1"/>
  <c r="O168" i="1" s="1"/>
  <c r="CY128" i="1"/>
  <c r="X128" i="1" s="1"/>
  <c r="AA187" i="5" s="1"/>
  <c r="CP127" i="1"/>
  <c r="O127" i="1" s="1"/>
  <c r="CP126" i="1"/>
  <c r="O126" i="1" s="1"/>
  <c r="AB126" i="1"/>
  <c r="CJ130" i="1"/>
  <c r="CS123" i="1"/>
  <c r="R123" i="1" s="1"/>
  <c r="AE170" i="1"/>
  <c r="CG130" i="1"/>
  <c r="CX102" i="3"/>
  <c r="CX101" i="3"/>
  <c r="CX105" i="3"/>
  <c r="CX103" i="3"/>
  <c r="CX100" i="3"/>
  <c r="CX104" i="3"/>
  <c r="CP123" i="1"/>
  <c r="O123" i="1" s="1"/>
  <c r="BC80" i="1"/>
  <c r="F105" i="1"/>
  <c r="AP80" i="1"/>
  <c r="F98" i="1"/>
  <c r="CQ85" i="1"/>
  <c r="P85" i="1" s="1"/>
  <c r="AB85" i="1"/>
  <c r="CQ84" i="1"/>
  <c r="P84" i="1" s="1"/>
  <c r="AB84" i="1"/>
  <c r="E135" i="5" s="1"/>
  <c r="CP83" i="1"/>
  <c r="O83" i="1" s="1"/>
  <c r="GX82" i="1"/>
  <c r="CJ89" i="1" s="1"/>
  <c r="BZ89" i="1"/>
  <c r="T45" i="1"/>
  <c r="CM162" i="1"/>
  <c r="BD170" i="1"/>
  <c r="AB168" i="1"/>
  <c r="CC170" i="1"/>
  <c r="AI170" i="1"/>
  <c r="BB130" i="1"/>
  <c r="CY126" i="1"/>
  <c r="X126" i="1" s="1"/>
  <c r="AA177" i="5" s="1"/>
  <c r="V125" i="1"/>
  <c r="CY124" i="1"/>
  <c r="X124" i="1" s="1"/>
  <c r="AA163" i="5" s="1"/>
  <c r="CZ124" i="1"/>
  <c r="Y124" i="1" s="1"/>
  <c r="AB163" i="5" s="1"/>
  <c r="AG130" i="1"/>
  <c r="AB87" i="1"/>
  <c r="CQ87" i="1"/>
  <c r="P87" i="1" s="1"/>
  <c r="CS86" i="1"/>
  <c r="R86" i="1" s="1"/>
  <c r="AD86" i="1"/>
  <c r="CY83" i="1"/>
  <c r="X83" i="1" s="1"/>
  <c r="AA132" i="5" s="1"/>
  <c r="R82" i="1"/>
  <c r="AD41" i="1"/>
  <c r="CS41" i="1"/>
  <c r="R41" i="1" s="1"/>
  <c r="X94" i="5" s="1"/>
  <c r="BX162" i="1"/>
  <c r="CG170" i="1"/>
  <c r="CQ167" i="1"/>
  <c r="P167" i="1" s="1"/>
  <c r="AB167" i="1"/>
  <c r="E202" i="5" s="1"/>
  <c r="AQ170" i="1"/>
  <c r="BZ162" i="1"/>
  <c r="CY127" i="1"/>
  <c r="X127" i="1" s="1"/>
  <c r="AA180" i="5" s="1"/>
  <c r="CZ127" i="1"/>
  <c r="Y127" i="1" s="1"/>
  <c r="AB180" i="5" s="1"/>
  <c r="AD43" i="1"/>
  <c r="CS43" i="1"/>
  <c r="R43" i="1" s="1"/>
  <c r="F146" i="1"/>
  <c r="BC121" i="1"/>
  <c r="AQ130" i="1"/>
  <c r="CD130" i="1"/>
  <c r="CZ125" i="1"/>
  <c r="Y125" i="1" s="1"/>
  <c r="AB170" i="5" s="1"/>
  <c r="CY125" i="1"/>
  <c r="X125" i="1" s="1"/>
  <c r="AA170" i="5" s="1"/>
  <c r="CY85" i="1"/>
  <c r="X85" i="1" s="1"/>
  <c r="AA142" i="5" s="1"/>
  <c r="CZ85" i="1"/>
  <c r="Y85" i="1" s="1"/>
  <c r="AB142" i="5" s="1"/>
  <c r="CY84" i="1"/>
  <c r="X84" i="1" s="1"/>
  <c r="AA135" i="5" s="1"/>
  <c r="AT89" i="1"/>
  <c r="CC80" i="1"/>
  <c r="AI89" i="1"/>
  <c r="CX67" i="3"/>
  <c r="CX71" i="3"/>
  <c r="CX66" i="3"/>
  <c r="CX70" i="3"/>
  <c r="CX65" i="3"/>
  <c r="CX69" i="3"/>
  <c r="CX73" i="3"/>
  <c r="CX64" i="3"/>
  <c r="CX72" i="3"/>
  <c r="CX68" i="3"/>
  <c r="BC26" i="1"/>
  <c r="F64" i="1"/>
  <c r="BC200" i="1"/>
  <c r="CZ39" i="1"/>
  <c r="Y39" i="1" s="1"/>
  <c r="AB86" i="5" s="1"/>
  <c r="CY39" i="1"/>
  <c r="X39" i="1" s="1"/>
  <c r="AA86" i="5" s="1"/>
  <c r="AB32" i="1"/>
  <c r="E47" i="5" s="1"/>
  <c r="CX55" i="3"/>
  <c r="CX59" i="3"/>
  <c r="CX63" i="3"/>
  <c r="CX54" i="3"/>
  <c r="CX58" i="3"/>
  <c r="CX62" i="3"/>
  <c r="CX53" i="3"/>
  <c r="CX57" i="3"/>
  <c r="CX61" i="3"/>
  <c r="CX56" i="3"/>
  <c r="CX60" i="3"/>
  <c r="S45" i="1"/>
  <c r="V45" i="1"/>
  <c r="CX27" i="3"/>
  <c r="CX26" i="3"/>
  <c r="CX30" i="3"/>
  <c r="CX25" i="3"/>
  <c r="CX29" i="3"/>
  <c r="CX28" i="3"/>
  <c r="CY35" i="1"/>
  <c r="X35" i="1" s="1"/>
  <c r="AA62" i="5" s="1"/>
  <c r="CZ35" i="1"/>
  <c r="Y35" i="1" s="1"/>
  <c r="AB62" i="5" s="1"/>
  <c r="AB34" i="1"/>
  <c r="E57" i="5" s="1"/>
  <c r="CR34" i="1"/>
  <c r="Q34" i="1" s="1"/>
  <c r="CS33" i="1"/>
  <c r="R33" i="1" s="1"/>
  <c r="AD33" i="1"/>
  <c r="CR33" i="1" s="1"/>
  <c r="Q33" i="1" s="1"/>
  <c r="W54" i="5" s="1"/>
  <c r="CX114" i="3"/>
  <c r="CX118" i="3"/>
  <c r="CX117" i="3"/>
  <c r="CX115" i="3"/>
  <c r="CX116" i="3"/>
  <c r="BY121" i="1"/>
  <c r="CI130" i="1"/>
  <c r="AP130" i="1"/>
  <c r="AB127" i="1"/>
  <c r="E180" i="5" s="1"/>
  <c r="F58" i="1"/>
  <c r="CY42" i="1"/>
  <c r="X42" i="1" s="1"/>
  <c r="AB39" i="1"/>
  <c r="E86" i="5" s="1"/>
  <c r="CQ39" i="1"/>
  <c r="P39" i="1" s="1"/>
  <c r="GX37" i="1"/>
  <c r="U37" i="1"/>
  <c r="CQ35" i="1"/>
  <c r="P35" i="1" s="1"/>
  <c r="AB35" i="1"/>
  <c r="E62" i="5" s="1"/>
  <c r="CS34" i="1"/>
  <c r="R34" i="1" s="1"/>
  <c r="CZ33" i="1"/>
  <c r="Y33" i="1" s="1"/>
  <c r="AB54" i="5" s="1"/>
  <c r="CX122" i="3"/>
  <c r="CX126" i="3"/>
  <c r="CX121" i="3"/>
  <c r="CX125" i="3"/>
  <c r="CX120" i="3"/>
  <c r="CX124" i="3"/>
  <c r="U164" i="1"/>
  <c r="AO130" i="1"/>
  <c r="U128" i="1"/>
  <c r="Y187" i="5" s="1"/>
  <c r="Q128" i="1"/>
  <c r="AB124" i="1"/>
  <c r="E163" i="5" s="1"/>
  <c r="BD89" i="1"/>
  <c r="AB86" i="1"/>
  <c r="E145" i="5" s="1"/>
  <c r="CX75" i="3"/>
  <c r="CX79" i="3"/>
  <c r="CX83" i="3"/>
  <c r="CX74" i="3"/>
  <c r="CX78" i="3"/>
  <c r="CX82" i="3"/>
  <c r="CX86" i="3"/>
  <c r="CX77" i="3"/>
  <c r="CX81" i="3"/>
  <c r="CX85" i="3"/>
  <c r="CX80" i="3"/>
  <c r="CX76" i="3"/>
  <c r="CX84" i="3"/>
  <c r="P82" i="1"/>
  <c r="U125" i="5" s="1"/>
  <c r="CL80" i="1"/>
  <c r="W45" i="1"/>
  <c r="R45" i="1"/>
  <c r="CS44" i="1"/>
  <c r="R44" i="1" s="1"/>
  <c r="CY44" i="1" s="1"/>
  <c r="X44" i="1" s="1"/>
  <c r="AA107" i="5" s="1"/>
  <c r="CS42" i="1"/>
  <c r="R42" i="1" s="1"/>
  <c r="CS40" i="1"/>
  <c r="R40" i="1" s="1"/>
  <c r="CX39" i="3"/>
  <c r="CX38" i="3"/>
  <c r="CX42" i="3"/>
  <c r="CX37" i="3"/>
  <c r="CX41" i="3"/>
  <c r="CX40" i="3"/>
  <c r="AB37" i="1"/>
  <c r="E72" i="5" s="1"/>
  <c r="CR37" i="1"/>
  <c r="Q37" i="1" s="1"/>
  <c r="T37" i="1"/>
  <c r="W36" i="1"/>
  <c r="S36" i="1"/>
  <c r="V69" i="5" s="1"/>
  <c r="CS32" i="1"/>
  <c r="R32" i="1" s="1"/>
  <c r="AB30" i="1"/>
  <c r="CR30" i="1"/>
  <c r="Q30" i="1" s="1"/>
  <c r="F183" i="1"/>
  <c r="T165" i="1"/>
  <c r="AG170" i="1" s="1"/>
  <c r="AB165" i="1"/>
  <c r="BY170" i="1"/>
  <c r="CX98" i="3"/>
  <c r="CX97" i="3"/>
  <c r="CX99" i="3"/>
  <c r="AD87" i="1"/>
  <c r="CR87" i="1" s="1"/>
  <c r="Q87" i="1" s="1"/>
  <c r="W152" i="5" s="1"/>
  <c r="T82" i="1"/>
  <c r="AG89" i="1" s="1"/>
  <c r="AB82" i="1"/>
  <c r="E125" i="5" s="1"/>
  <c r="CG48" i="1"/>
  <c r="BB48" i="1"/>
  <c r="CY46" i="1"/>
  <c r="X46" i="1" s="1"/>
  <c r="AA121" i="5" s="1"/>
  <c r="GX45" i="1"/>
  <c r="AB45" i="1"/>
  <c r="E114" i="5" s="1"/>
  <c r="CQ45" i="1"/>
  <c r="P45" i="1" s="1"/>
  <c r="U114" i="5" s="1"/>
  <c r="AB44" i="1"/>
  <c r="E107" i="5" s="1"/>
  <c r="U43" i="1"/>
  <c r="Y104" i="5" s="1"/>
  <c r="AB42" i="1"/>
  <c r="E97" i="5" s="1"/>
  <c r="U41" i="1"/>
  <c r="Y94" i="5" s="1"/>
  <c r="AB40" i="1"/>
  <c r="V39" i="1"/>
  <c r="CY38" i="1"/>
  <c r="X38" i="1" s="1"/>
  <c r="AA79" i="5" s="1"/>
  <c r="CZ38" i="1"/>
  <c r="Y38" i="1" s="1"/>
  <c r="AB79" i="5" s="1"/>
  <c r="CS37" i="1"/>
  <c r="R37" i="1" s="1"/>
  <c r="GX36" i="1"/>
  <c r="T36" i="1"/>
  <c r="V36" i="1"/>
  <c r="Z69" i="5" s="1"/>
  <c r="Q36" i="1"/>
  <c r="CS30" i="1"/>
  <c r="R30" i="1" s="1"/>
  <c r="X41" i="5" s="1"/>
  <c r="CC48" i="1"/>
  <c r="CX3" i="3"/>
  <c r="CX7" i="3"/>
  <c r="CX6" i="3"/>
  <c r="CX5" i="3"/>
  <c r="CX8" i="3"/>
  <c r="CX4" i="3"/>
  <c r="CS31" i="1"/>
  <c r="R31" i="1" s="1"/>
  <c r="AD31" i="1"/>
  <c r="CR31" i="1" s="1"/>
  <c r="Q31" i="1" s="1"/>
  <c r="W44" i="5" s="1"/>
  <c r="AB29" i="1"/>
  <c r="E36" i="5" s="1"/>
  <c r="CT29" i="1"/>
  <c r="S29" i="1" s="1"/>
  <c r="CX123" i="3"/>
  <c r="U125" i="1"/>
  <c r="CT28" i="1"/>
  <c r="S28" i="1" s="1"/>
  <c r="AB28" i="1"/>
  <c r="E31" i="5" s="1"/>
  <c r="BZ26" i="1"/>
  <c r="AO26" i="1"/>
  <c r="CX106" i="3"/>
  <c r="CX110" i="3"/>
  <c r="CX109" i="3"/>
  <c r="CX113" i="3"/>
  <c r="CX107" i="3"/>
  <c r="CX111" i="3"/>
  <c r="CX108" i="3"/>
  <c r="U45" i="1"/>
  <c r="Q45" i="1"/>
  <c r="P44" i="1"/>
  <c r="CX43" i="3"/>
  <c r="CX47" i="3"/>
  <c r="CX46" i="3"/>
  <c r="CX45" i="3"/>
  <c r="CX49" i="3"/>
  <c r="CX48" i="3"/>
  <c r="W41" i="1"/>
  <c r="S41" i="1"/>
  <c r="V94" i="5" s="1"/>
  <c r="U39" i="1"/>
  <c r="Q39" i="1"/>
  <c r="P38" i="1"/>
  <c r="AB36" i="1"/>
  <c r="CX18" i="3"/>
  <c r="CX17" i="3"/>
  <c r="CX16" i="3"/>
  <c r="CX11" i="3"/>
  <c r="CX15" i="3"/>
  <c r="CX10" i="3"/>
  <c r="CX14" i="3"/>
  <c r="CX9" i="3"/>
  <c r="CX13" i="3"/>
  <c r="CD48" i="1"/>
  <c r="V29" i="1"/>
  <c r="CX51" i="3"/>
  <c r="CX50" i="3"/>
  <c r="W43" i="1"/>
  <c r="S43" i="1"/>
  <c r="V104" i="5" s="1"/>
  <c r="CX31" i="3"/>
  <c r="CX35" i="3"/>
  <c r="CX34" i="3"/>
  <c r="CX33" i="3"/>
  <c r="CX32" i="3"/>
  <c r="CX36" i="3"/>
  <c r="W37" i="1"/>
  <c r="T29" i="1"/>
  <c r="CX19" i="3"/>
  <c r="CX23" i="3"/>
  <c r="CX22" i="3"/>
  <c r="CX21" i="3"/>
  <c r="CX24" i="3"/>
  <c r="W34" i="1"/>
  <c r="S34" i="1"/>
  <c r="W32" i="1"/>
  <c r="S32" i="1"/>
  <c r="W30" i="1"/>
  <c r="S30" i="1"/>
  <c r="V41" i="5" s="1"/>
  <c r="P29" i="1"/>
  <c r="V72" i="5" l="1"/>
  <c r="H72" i="5"/>
  <c r="CP40" i="1"/>
  <c r="O40" i="1" s="1"/>
  <c r="U91" i="5"/>
  <c r="K73" i="5"/>
  <c r="Z72" i="5"/>
  <c r="CP46" i="1"/>
  <c r="O46" i="1" s="1"/>
  <c r="U121" i="5"/>
  <c r="V31" i="5"/>
  <c r="H31" i="5"/>
  <c r="CP36" i="1"/>
  <c r="O36" i="1" s="1"/>
  <c r="W69" i="5"/>
  <c r="U62" i="5"/>
  <c r="AA97" i="5"/>
  <c r="G156" i="5"/>
  <c r="T156" i="5"/>
  <c r="I156" i="5"/>
  <c r="W156" i="5"/>
  <c r="I32" i="5"/>
  <c r="X31" i="5"/>
  <c r="K97" i="5"/>
  <c r="Y97" i="5"/>
  <c r="V135" i="5"/>
  <c r="H135" i="5"/>
  <c r="CR125" i="1"/>
  <c r="Q125" i="1" s="1"/>
  <c r="F170" i="5"/>
  <c r="V191" i="5"/>
  <c r="H191" i="5"/>
  <c r="H156" i="5"/>
  <c r="V156" i="5"/>
  <c r="V202" i="5"/>
  <c r="H202" i="5"/>
  <c r="X191" i="5"/>
  <c r="I192" i="5"/>
  <c r="F189" i="1"/>
  <c r="AU162" i="1"/>
  <c r="AH130" i="1"/>
  <c r="Y170" i="5"/>
  <c r="K170" i="5"/>
  <c r="CP30" i="1"/>
  <c r="O30" i="1" s="1"/>
  <c r="W41" i="5"/>
  <c r="CP33" i="1"/>
  <c r="O33" i="1" s="1"/>
  <c r="GM33" i="1" s="1"/>
  <c r="I115" i="5"/>
  <c r="X114" i="5"/>
  <c r="CP128" i="1"/>
  <c r="O128" i="1" s="1"/>
  <c r="W187" i="5"/>
  <c r="AH170" i="1"/>
  <c r="K191" i="5"/>
  <c r="Y191" i="5"/>
  <c r="K115" i="5"/>
  <c r="Z114" i="5"/>
  <c r="U202" i="5"/>
  <c r="CR86" i="1"/>
  <c r="Q86" i="1" s="1"/>
  <c r="F145" i="5"/>
  <c r="CZ126" i="1"/>
  <c r="Y126" i="1" s="1"/>
  <c r="AB177" i="5" s="1"/>
  <c r="T177" i="5"/>
  <c r="G177" i="5"/>
  <c r="AF170" i="1"/>
  <c r="I37" i="5"/>
  <c r="X36" i="5"/>
  <c r="I213" i="5" s="1"/>
  <c r="V79" i="5"/>
  <c r="H79" i="5"/>
  <c r="K157" i="5"/>
  <c r="Z156" i="5"/>
  <c r="CZ128" i="1"/>
  <c r="Y128" i="1" s="1"/>
  <c r="AB187" i="5" s="1"/>
  <c r="V187" i="5"/>
  <c r="X202" i="5"/>
  <c r="I203" i="5"/>
  <c r="K32" i="5"/>
  <c r="Z31" i="5"/>
  <c r="Z79" i="5"/>
  <c r="K80" i="5"/>
  <c r="V125" i="5"/>
  <c r="H125" i="5"/>
  <c r="BD26" i="1"/>
  <c r="F73" i="1"/>
  <c r="CR124" i="1"/>
  <c r="Q124" i="1" s="1"/>
  <c r="F163" i="5"/>
  <c r="CR164" i="1"/>
  <c r="Q164" i="1" s="1"/>
  <c r="F191" i="5"/>
  <c r="T199" i="5"/>
  <c r="G199" i="5"/>
  <c r="Y180" i="5"/>
  <c r="K180" i="5"/>
  <c r="CP29" i="1"/>
  <c r="O29" i="1" s="1"/>
  <c r="U36" i="5"/>
  <c r="I48" i="5"/>
  <c r="X47" i="5"/>
  <c r="U135" i="5"/>
  <c r="V57" i="5"/>
  <c r="H57" i="5"/>
  <c r="AI48" i="1"/>
  <c r="AI26" i="1" s="1"/>
  <c r="K37" i="5"/>
  <c r="Z36" i="5"/>
  <c r="U79" i="5"/>
  <c r="U107" i="5"/>
  <c r="CY31" i="1"/>
  <c r="X31" i="1" s="1"/>
  <c r="AA44" i="5" s="1"/>
  <c r="X44" i="5"/>
  <c r="AG48" i="1"/>
  <c r="CP34" i="1"/>
  <c r="O34" i="1" s="1"/>
  <c r="CP37" i="1"/>
  <c r="O37" i="1" s="1"/>
  <c r="GN37" i="1" s="1"/>
  <c r="W72" i="5"/>
  <c r="I72" i="5"/>
  <c r="CZ40" i="1"/>
  <c r="Y40" i="1" s="1"/>
  <c r="AB91" i="5" s="1"/>
  <c r="X91" i="5"/>
  <c r="I58" i="5"/>
  <c r="X57" i="5"/>
  <c r="AH48" i="1"/>
  <c r="K72" i="5"/>
  <c r="Y72" i="5"/>
  <c r="CY40" i="1"/>
  <c r="X40" i="1" s="1"/>
  <c r="AA91" i="5" s="1"/>
  <c r="CY33" i="1"/>
  <c r="X33" i="1" s="1"/>
  <c r="AA54" i="5" s="1"/>
  <c r="X54" i="5"/>
  <c r="H114" i="5"/>
  <c r="V114" i="5"/>
  <c r="F102" i="1"/>
  <c r="AE48" i="1"/>
  <c r="AE26" i="1" s="1"/>
  <c r="X104" i="5"/>
  <c r="CY86" i="1"/>
  <c r="X86" i="1" s="1"/>
  <c r="AA145" i="5" s="1"/>
  <c r="I146" i="5"/>
  <c r="X145" i="5"/>
  <c r="CZ167" i="1"/>
  <c r="Y167" i="1" s="1"/>
  <c r="AB202" i="5" s="1"/>
  <c r="G132" i="5"/>
  <c r="T132" i="5"/>
  <c r="CP85" i="1"/>
  <c r="O85" i="1" s="1"/>
  <c r="GM85" i="1" s="1"/>
  <c r="U142" i="5"/>
  <c r="X156" i="5"/>
  <c r="I157" i="5"/>
  <c r="T180" i="5"/>
  <c r="G180" i="5"/>
  <c r="CZ164" i="1"/>
  <c r="Y164" i="1" s="1"/>
  <c r="CR82" i="1"/>
  <c r="Q82" i="1" s="1"/>
  <c r="F125" i="5"/>
  <c r="Z145" i="5"/>
  <c r="K146" i="5"/>
  <c r="I181" i="5"/>
  <c r="X180" i="5"/>
  <c r="K192" i="5"/>
  <c r="Z191" i="5"/>
  <c r="K48" i="5"/>
  <c r="Z47" i="5"/>
  <c r="F62" i="5"/>
  <c r="CR35" i="1"/>
  <c r="Q35" i="1" s="1"/>
  <c r="Y79" i="5"/>
  <c r="K79" i="5"/>
  <c r="CR42" i="1"/>
  <c r="Q42" i="1" s="1"/>
  <c r="F97" i="5"/>
  <c r="H107" i="5"/>
  <c r="V107" i="5"/>
  <c r="H163" i="5"/>
  <c r="V163" i="5"/>
  <c r="X209" i="5"/>
  <c r="CZ168" i="1"/>
  <c r="Y168" i="1" s="1"/>
  <c r="AB209" i="5" s="1"/>
  <c r="I180" i="5"/>
  <c r="W180" i="5"/>
  <c r="K125" i="5"/>
  <c r="Y125" i="5"/>
  <c r="K86" i="5"/>
  <c r="Y86" i="5"/>
  <c r="Y114" i="5"/>
  <c r="K114" i="5"/>
  <c r="I73" i="5"/>
  <c r="X72" i="5"/>
  <c r="CZ44" i="1"/>
  <c r="Y44" i="1" s="1"/>
  <c r="AB107" i="5" s="1"/>
  <c r="X107" i="5"/>
  <c r="I108" i="5"/>
  <c r="CP39" i="1"/>
  <c r="O39" i="1" s="1"/>
  <c r="U86" i="5"/>
  <c r="T209" i="5"/>
  <c r="G209" i="5"/>
  <c r="Z125" i="5"/>
  <c r="K126" i="5"/>
  <c r="Z180" i="5"/>
  <c r="K181" i="5"/>
  <c r="Z97" i="5"/>
  <c r="K98" i="5"/>
  <c r="K145" i="5"/>
  <c r="Y145" i="5"/>
  <c r="AB125" i="1"/>
  <c r="E170" i="5" s="1"/>
  <c r="CR29" i="1"/>
  <c r="Q29" i="1" s="1"/>
  <c r="F36" i="5"/>
  <c r="K163" i="5"/>
  <c r="Y163" i="5"/>
  <c r="V47" i="5"/>
  <c r="H47" i="5"/>
  <c r="I86" i="5"/>
  <c r="W86" i="5"/>
  <c r="W114" i="5"/>
  <c r="I114" i="5"/>
  <c r="V36" i="5"/>
  <c r="H36" i="5"/>
  <c r="CP31" i="1"/>
  <c r="O31" i="1" s="1"/>
  <c r="CJ48" i="1"/>
  <c r="CJ26" i="1" s="1"/>
  <c r="Z86" i="5"/>
  <c r="K87" i="5"/>
  <c r="CZ31" i="1"/>
  <c r="Y31" i="1" s="1"/>
  <c r="AB44" i="5" s="1"/>
  <c r="X97" i="5"/>
  <c r="I98" i="5"/>
  <c r="CZ42" i="1"/>
  <c r="Y42" i="1" s="1"/>
  <c r="W57" i="5"/>
  <c r="I57" i="5"/>
  <c r="CR32" i="1"/>
  <c r="Q32" i="1" s="1"/>
  <c r="CZ84" i="1"/>
  <c r="Y84" i="1" s="1"/>
  <c r="AB135" i="5" s="1"/>
  <c r="AE89" i="1"/>
  <c r="I126" i="5"/>
  <c r="X125" i="5"/>
  <c r="CP87" i="1"/>
  <c r="O87" i="1" s="1"/>
  <c r="U152" i="5"/>
  <c r="AF130" i="1"/>
  <c r="S130" i="1" s="1"/>
  <c r="AI130" i="1"/>
  <c r="Z170" i="5"/>
  <c r="K171" i="5"/>
  <c r="CY167" i="1"/>
  <c r="X167" i="1" s="1"/>
  <c r="AA202" i="5" s="1"/>
  <c r="CZ86" i="1"/>
  <c r="Y86" i="1" s="1"/>
  <c r="AB145" i="5" s="1"/>
  <c r="AF89" i="1"/>
  <c r="F135" i="5"/>
  <c r="CR84" i="1"/>
  <c r="Q84" i="1" s="1"/>
  <c r="I164" i="5"/>
  <c r="X163" i="5"/>
  <c r="I171" i="5"/>
  <c r="X170" i="5"/>
  <c r="G219" i="5"/>
  <c r="F375" i="1"/>
  <c r="K108" i="5"/>
  <c r="Z107" i="5"/>
  <c r="Y156" i="5"/>
  <c r="K156" i="5"/>
  <c r="CR28" i="1"/>
  <c r="Q28" i="1" s="1"/>
  <c r="F31" i="5"/>
  <c r="K47" i="5"/>
  <c r="Y47" i="5"/>
  <c r="V62" i="5"/>
  <c r="H62" i="5"/>
  <c r="CR38" i="1"/>
  <c r="Q38" i="1" s="1"/>
  <c r="CP38" i="1" s="1"/>
  <c r="O38" i="1" s="1"/>
  <c r="F79" i="5"/>
  <c r="AB38" i="1"/>
  <c r="E79" i="5" s="1"/>
  <c r="K135" i="5"/>
  <c r="Y135" i="5"/>
  <c r="F202" i="5"/>
  <c r="CR167" i="1"/>
  <c r="Q167" i="1" s="1"/>
  <c r="CR44" i="1"/>
  <c r="Q44" i="1" s="1"/>
  <c r="F107" i="5"/>
  <c r="K164" i="5"/>
  <c r="Z163" i="5"/>
  <c r="K202" i="5"/>
  <c r="Y202" i="5"/>
  <c r="K58" i="5"/>
  <c r="Z57" i="5"/>
  <c r="CY168" i="1"/>
  <c r="X168" i="1" s="1"/>
  <c r="AA209" i="5" s="1"/>
  <c r="GM36" i="1"/>
  <c r="AG26" i="1"/>
  <c r="T48" i="1"/>
  <c r="AH26" i="1"/>
  <c r="U48" i="1"/>
  <c r="R48" i="1"/>
  <c r="T170" i="1"/>
  <c r="AG162" i="1"/>
  <c r="V130" i="1"/>
  <c r="AI121" i="1"/>
  <c r="U130" i="1"/>
  <c r="AH121" i="1"/>
  <c r="GM128" i="1"/>
  <c r="CZ32" i="1"/>
  <c r="Y32" i="1" s="1"/>
  <c r="AB47" i="5" s="1"/>
  <c r="CY32" i="1"/>
  <c r="X32" i="1" s="1"/>
  <c r="AA47" i="5" s="1"/>
  <c r="CZ37" i="1"/>
  <c r="Y37" i="1" s="1"/>
  <c r="AB72" i="5" s="1"/>
  <c r="CY37" i="1"/>
  <c r="X37" i="1" s="1"/>
  <c r="AA72" i="5" s="1"/>
  <c r="CZ43" i="1"/>
  <c r="Y43" i="1" s="1"/>
  <c r="AB104" i="5" s="1"/>
  <c r="CY43" i="1"/>
  <c r="X43" i="1" s="1"/>
  <c r="AA104" i="5" s="1"/>
  <c r="GM40" i="1"/>
  <c r="GN40" i="1"/>
  <c r="CG26" i="1"/>
  <c r="AX48" i="1"/>
  <c r="AO121" i="1"/>
  <c r="F134" i="1"/>
  <c r="AO200" i="1"/>
  <c r="F139" i="1"/>
  <c r="AP121" i="1"/>
  <c r="GM87" i="1"/>
  <c r="GN87" i="1"/>
  <c r="GN85" i="1"/>
  <c r="CJ121" i="1"/>
  <c r="BA130" i="1"/>
  <c r="AJ121" i="1"/>
  <c r="W130" i="1"/>
  <c r="CZ30" i="1"/>
  <c r="Y30" i="1" s="1"/>
  <c r="AB41" i="5" s="1"/>
  <c r="CY30" i="1"/>
  <c r="X30" i="1" s="1"/>
  <c r="V48" i="1"/>
  <c r="CZ41" i="1"/>
  <c r="Y41" i="1" s="1"/>
  <c r="AB94" i="5" s="1"/>
  <c r="CY41" i="1"/>
  <c r="X41" i="1" s="1"/>
  <c r="AA94" i="5" s="1"/>
  <c r="CP32" i="1"/>
  <c r="O32" i="1" s="1"/>
  <c r="AZ130" i="1"/>
  <c r="CI121" i="1"/>
  <c r="F107" i="1"/>
  <c r="AT80" i="1"/>
  <c r="AB43" i="1"/>
  <c r="CR43" i="1"/>
  <c r="Q43" i="1" s="1"/>
  <c r="AX170" i="1"/>
  <c r="CG162" i="1"/>
  <c r="V170" i="1"/>
  <c r="AI162" i="1"/>
  <c r="AJ162" i="1"/>
  <c r="W170" i="1"/>
  <c r="AJ48" i="1"/>
  <c r="AB33" i="1"/>
  <c r="AC48" i="1"/>
  <c r="AB31" i="1"/>
  <c r="CZ34" i="1"/>
  <c r="Y34" i="1" s="1"/>
  <c r="CY34" i="1"/>
  <c r="X34" i="1" s="1"/>
  <c r="AA57" i="5" s="1"/>
  <c r="CY28" i="1"/>
  <c r="X28" i="1" s="1"/>
  <c r="AA31" i="5" s="1"/>
  <c r="CZ28" i="1"/>
  <c r="Y28" i="1" s="1"/>
  <c r="AB31" i="5" s="1"/>
  <c r="AF48" i="1"/>
  <c r="CP28" i="1"/>
  <c r="O28" i="1" s="1"/>
  <c r="CP45" i="1"/>
  <c r="O45" i="1" s="1"/>
  <c r="BB26" i="1"/>
  <c r="BB200" i="1"/>
  <c r="F61" i="1"/>
  <c r="AP170" i="1"/>
  <c r="AP200" i="1" s="1"/>
  <c r="BY162" i="1"/>
  <c r="CI170" i="1"/>
  <c r="CP165" i="1"/>
  <c r="O165" i="1" s="1"/>
  <c r="AC170" i="1"/>
  <c r="AI80" i="1"/>
  <c r="V89" i="1"/>
  <c r="F140" i="1"/>
  <c r="AQ121" i="1"/>
  <c r="CR41" i="1"/>
  <c r="Q41" i="1" s="1"/>
  <c r="AB41" i="1"/>
  <c r="CP125" i="1"/>
  <c r="O125" i="1" s="1"/>
  <c r="F143" i="1"/>
  <c r="BB121" i="1"/>
  <c r="BA89" i="1"/>
  <c r="CJ80" i="1"/>
  <c r="AC130" i="1"/>
  <c r="CZ123" i="1"/>
  <c r="Y123" i="1" s="1"/>
  <c r="CY123" i="1"/>
  <c r="X123" i="1" s="1"/>
  <c r="AE130" i="1"/>
  <c r="GO127" i="1"/>
  <c r="GM127" i="1"/>
  <c r="AP26" i="1"/>
  <c r="F57" i="1"/>
  <c r="S89" i="1"/>
  <c r="AF80" i="1"/>
  <c r="GM46" i="1"/>
  <c r="GN46" i="1"/>
  <c r="CY29" i="1"/>
  <c r="X29" i="1" s="1"/>
  <c r="CZ29" i="1"/>
  <c r="Y29" i="1" s="1"/>
  <c r="AB36" i="5" s="1"/>
  <c r="GN31" i="1"/>
  <c r="GM31" i="1"/>
  <c r="F114" i="1"/>
  <c r="BD200" i="1"/>
  <c r="BD80" i="1"/>
  <c r="CZ45" i="1"/>
  <c r="Y45" i="1" s="1"/>
  <c r="AB114" i="5" s="1"/>
  <c r="CY45" i="1"/>
  <c r="X45" i="1" s="1"/>
  <c r="AA114" i="5" s="1"/>
  <c r="AE80" i="1"/>
  <c r="R89" i="1"/>
  <c r="GM83" i="1"/>
  <c r="GN83" i="1"/>
  <c r="GM123" i="1"/>
  <c r="CG121" i="1"/>
  <c r="AX130" i="1"/>
  <c r="CI26" i="1"/>
  <c r="AZ48" i="1"/>
  <c r="AF162" i="1"/>
  <c r="S170" i="1"/>
  <c r="CY82" i="1"/>
  <c r="X82" i="1" s="1"/>
  <c r="GN34" i="1"/>
  <c r="CP82" i="1"/>
  <c r="O82" i="1" s="1"/>
  <c r="AC89" i="1"/>
  <c r="GN39" i="1"/>
  <c r="GM39" i="1"/>
  <c r="R170" i="1"/>
  <c r="AE162" i="1"/>
  <c r="W80" i="1"/>
  <c r="F113" i="1"/>
  <c r="AU48" i="1"/>
  <c r="CD26" i="1"/>
  <c r="CC26" i="1"/>
  <c r="AT48" i="1"/>
  <c r="AG80" i="1"/>
  <c r="T89" i="1"/>
  <c r="CZ36" i="1"/>
  <c r="Y36" i="1" s="1"/>
  <c r="AB69" i="5" s="1"/>
  <c r="CY36" i="1"/>
  <c r="X36" i="1" s="1"/>
  <c r="AH162" i="1"/>
  <c r="U170" i="1"/>
  <c r="BC22" i="1"/>
  <c r="F216" i="1"/>
  <c r="BC380" i="1"/>
  <c r="AU130" i="1"/>
  <c r="CD121" i="1"/>
  <c r="AQ162" i="1"/>
  <c r="F180" i="1"/>
  <c r="AG121" i="1"/>
  <c r="T130" i="1"/>
  <c r="AT170" i="1"/>
  <c r="CC162" i="1"/>
  <c r="BD162" i="1"/>
  <c r="F195" i="1"/>
  <c r="BZ80" i="1"/>
  <c r="CG89" i="1"/>
  <c r="CI89" i="1"/>
  <c r="AQ89" i="1"/>
  <c r="U89" i="1"/>
  <c r="AH80" i="1"/>
  <c r="GO126" i="1"/>
  <c r="GM126" i="1"/>
  <c r="CJ162" i="1"/>
  <c r="BA170" i="1"/>
  <c r="CZ82" i="1"/>
  <c r="Y82" i="1" s="1"/>
  <c r="AU80" i="1"/>
  <c r="F108" i="1"/>
  <c r="T79" i="5" l="1"/>
  <c r="G79" i="5"/>
  <c r="GN38" i="1"/>
  <c r="GM38" i="1"/>
  <c r="AK170" i="1"/>
  <c r="AL130" i="1"/>
  <c r="AB156" i="5"/>
  <c r="T196" i="5"/>
  <c r="G196" i="5"/>
  <c r="G31" i="5"/>
  <c r="T31" i="5"/>
  <c r="CP43" i="1"/>
  <c r="O43" i="1" s="1"/>
  <c r="GN43" i="1" s="1"/>
  <c r="W104" i="5"/>
  <c r="G47" i="5"/>
  <c r="T47" i="5"/>
  <c r="GO128" i="1"/>
  <c r="BA48" i="1"/>
  <c r="W202" i="5"/>
  <c r="I202" i="5"/>
  <c r="W31" i="5"/>
  <c r="I31" i="5"/>
  <c r="G44" i="5"/>
  <c r="T44" i="5"/>
  <c r="W36" i="5"/>
  <c r="I36" i="5"/>
  <c r="I125" i="5"/>
  <c r="W125" i="5"/>
  <c r="T57" i="5"/>
  <c r="G57" i="5"/>
  <c r="T187" i="5"/>
  <c r="G187" i="5"/>
  <c r="W170" i="5"/>
  <c r="I170" i="5"/>
  <c r="G69" i="5"/>
  <c r="T69" i="5"/>
  <c r="G121" i="5"/>
  <c r="T121" i="5"/>
  <c r="T91" i="5"/>
  <c r="G91" i="5"/>
  <c r="AK130" i="1"/>
  <c r="AK121" i="1" s="1"/>
  <c r="AA156" i="5"/>
  <c r="T114" i="5"/>
  <c r="G114" i="5"/>
  <c r="GM37" i="1"/>
  <c r="I135" i="5"/>
  <c r="W135" i="5"/>
  <c r="G142" i="5"/>
  <c r="T142" i="5"/>
  <c r="T72" i="5"/>
  <c r="G72" i="5"/>
  <c r="T36" i="5"/>
  <c r="G36" i="5"/>
  <c r="AF121" i="1"/>
  <c r="GN168" i="1"/>
  <c r="GN30" i="1"/>
  <c r="AA41" i="5"/>
  <c r="F378" i="1"/>
  <c r="I12" i="5" s="1"/>
  <c r="I15" i="5"/>
  <c r="F16" i="2"/>
  <c r="F18" i="2" s="1"/>
  <c r="G152" i="5"/>
  <c r="T152" i="5"/>
  <c r="AB97" i="5"/>
  <c r="T86" i="5"/>
  <c r="G86" i="5"/>
  <c r="W62" i="5"/>
  <c r="I62" i="5"/>
  <c r="AL170" i="1"/>
  <c r="AB191" i="5"/>
  <c r="AD170" i="1"/>
  <c r="W191" i="5"/>
  <c r="I191" i="5"/>
  <c r="CP164" i="1"/>
  <c r="O164" i="1" s="1"/>
  <c r="CP167" i="1"/>
  <c r="O167" i="1" s="1"/>
  <c r="T41" i="5"/>
  <c r="G41" i="5"/>
  <c r="CP84" i="1"/>
  <c r="O84" i="1" s="1"/>
  <c r="W163" i="5"/>
  <c r="I163" i="5"/>
  <c r="CP124" i="1"/>
  <c r="O124" i="1" s="1"/>
  <c r="I145" i="5"/>
  <c r="W145" i="5"/>
  <c r="CP86" i="1"/>
  <c r="O86" i="1" s="1"/>
  <c r="AB89" i="1" s="1"/>
  <c r="G54" i="5"/>
  <c r="T54" i="5"/>
  <c r="AD130" i="1"/>
  <c r="AK89" i="1"/>
  <c r="AA125" i="5"/>
  <c r="AL89" i="1"/>
  <c r="AB125" i="5"/>
  <c r="AD89" i="1"/>
  <c r="GN36" i="1"/>
  <c r="AA69" i="5"/>
  <c r="GN123" i="1"/>
  <c r="GM29" i="1"/>
  <c r="GM34" i="1"/>
  <c r="AB57" i="5"/>
  <c r="GM168" i="1"/>
  <c r="T125" i="5"/>
  <c r="G125" i="5"/>
  <c r="GN33" i="1"/>
  <c r="GN29" i="1"/>
  <c r="AA36" i="5"/>
  <c r="G170" i="5"/>
  <c r="T170" i="5"/>
  <c r="CP41" i="1"/>
  <c r="O41" i="1" s="1"/>
  <c r="W94" i="5"/>
  <c r="I107" i="5"/>
  <c r="W107" i="5"/>
  <c r="I79" i="5"/>
  <c r="W79" i="5"/>
  <c r="W47" i="5"/>
  <c r="I47" i="5"/>
  <c r="CP42" i="1"/>
  <c r="O42" i="1" s="1"/>
  <c r="I97" i="5"/>
  <c r="W97" i="5"/>
  <c r="CP44" i="1"/>
  <c r="O44" i="1" s="1"/>
  <c r="CP35" i="1"/>
  <c r="O35" i="1" s="1"/>
  <c r="H212" i="5"/>
  <c r="CI80" i="1"/>
  <c r="AZ89" i="1"/>
  <c r="AU26" i="1"/>
  <c r="AU200" i="1"/>
  <c r="F67" i="1"/>
  <c r="BD22" i="1"/>
  <c r="F225" i="1"/>
  <c r="BD380" i="1"/>
  <c r="AP22" i="1"/>
  <c r="AP380" i="1"/>
  <c r="F209" i="1"/>
  <c r="CI162" i="1"/>
  <c r="AZ170" i="1"/>
  <c r="BB22" i="1"/>
  <c r="BB380" i="1"/>
  <c r="F213" i="1"/>
  <c r="AJ26" i="1"/>
  <c r="W48" i="1"/>
  <c r="F193" i="1"/>
  <c r="V162" i="1"/>
  <c r="BA121" i="1"/>
  <c r="F150" i="1"/>
  <c r="AX26" i="1"/>
  <c r="F55" i="1"/>
  <c r="AX200" i="1"/>
  <c r="GM30" i="1"/>
  <c r="R26" i="1"/>
  <c r="F62" i="1"/>
  <c r="Q89" i="1"/>
  <c r="AD80" i="1"/>
  <c r="CF89" i="1"/>
  <c r="CE89" i="1"/>
  <c r="AC80" i="1"/>
  <c r="P89" i="1"/>
  <c r="CH89" i="1"/>
  <c r="GO125" i="1"/>
  <c r="CC130" i="1" s="1"/>
  <c r="GM125" i="1"/>
  <c r="AL48" i="1"/>
  <c r="W162" i="1"/>
  <c r="F194" i="1"/>
  <c r="GM82" i="1"/>
  <c r="GN82" i="1"/>
  <c r="F185" i="1"/>
  <c r="S162" i="1"/>
  <c r="AX121" i="1"/>
  <c r="F137" i="1"/>
  <c r="F145" i="1"/>
  <c r="S121" i="1"/>
  <c r="AD48" i="1"/>
  <c r="S80" i="1"/>
  <c r="F104" i="1"/>
  <c r="X130" i="1"/>
  <c r="BA80" i="1"/>
  <c r="F109" i="1"/>
  <c r="AC162" i="1"/>
  <c r="CE170" i="1"/>
  <c r="CF170" i="1"/>
  <c r="CH170" i="1"/>
  <c r="P170" i="1"/>
  <c r="F179" i="1"/>
  <c r="AP162" i="1"/>
  <c r="GN45" i="1"/>
  <c r="GM45" i="1"/>
  <c r="AK48" i="1"/>
  <c r="AC26" i="1"/>
  <c r="CH48" i="1"/>
  <c r="P48" i="1"/>
  <c r="CE48" i="1"/>
  <c r="CF48" i="1"/>
  <c r="F177" i="1"/>
  <c r="AX162" i="1"/>
  <c r="V26" i="1"/>
  <c r="F71" i="1"/>
  <c r="V200" i="1"/>
  <c r="W121" i="1"/>
  <c r="F154" i="1"/>
  <c r="F70" i="1"/>
  <c r="U26" i="1"/>
  <c r="U200" i="1"/>
  <c r="T26" i="1"/>
  <c r="T200" i="1"/>
  <c r="F69" i="1"/>
  <c r="BA26" i="1"/>
  <c r="F68" i="1"/>
  <c r="BA200" i="1"/>
  <c r="Q130" i="1"/>
  <c r="AD121" i="1"/>
  <c r="F111" i="1"/>
  <c r="U80" i="1"/>
  <c r="BC18" i="1"/>
  <c r="F396" i="1"/>
  <c r="R162" i="1"/>
  <c r="F184" i="1"/>
  <c r="AZ26" i="1"/>
  <c r="F59" i="1"/>
  <c r="AC121" i="1"/>
  <c r="P130" i="1"/>
  <c r="CE130" i="1"/>
  <c r="CH130" i="1"/>
  <c r="CF130" i="1"/>
  <c r="F112" i="1"/>
  <c r="V80" i="1"/>
  <c r="AF26" i="1"/>
  <c r="S48" i="1"/>
  <c r="AZ121" i="1"/>
  <c r="F141" i="1"/>
  <c r="Y89" i="1"/>
  <c r="AL80" i="1"/>
  <c r="AX89" i="1"/>
  <c r="CG80" i="1"/>
  <c r="AU121" i="1"/>
  <c r="F149" i="1"/>
  <c r="AT26" i="1"/>
  <c r="F66" i="1"/>
  <c r="X89" i="1"/>
  <c r="AK80" i="1"/>
  <c r="AE121" i="1"/>
  <c r="R130" i="1"/>
  <c r="GN41" i="1"/>
  <c r="GM41" i="1"/>
  <c r="AO22" i="1"/>
  <c r="F204" i="1"/>
  <c r="AO380" i="1"/>
  <c r="V121" i="1"/>
  <c r="F153" i="1"/>
  <c r="F190" i="1"/>
  <c r="BA162" i="1"/>
  <c r="F188" i="1"/>
  <c r="AT162" i="1"/>
  <c r="AQ80" i="1"/>
  <c r="F99" i="1"/>
  <c r="AQ200" i="1"/>
  <c r="F151" i="1"/>
  <c r="T121" i="1"/>
  <c r="U162" i="1"/>
  <c r="F192" i="1"/>
  <c r="T80" i="1"/>
  <c r="F110" i="1"/>
  <c r="F103" i="1"/>
  <c r="R80" i="1"/>
  <c r="X170" i="1"/>
  <c r="AK162" i="1"/>
  <c r="Y130" i="1"/>
  <c r="AL121" i="1"/>
  <c r="GM165" i="1"/>
  <c r="GN165" i="1"/>
  <c r="GM28" i="1"/>
  <c r="AB48" i="1"/>
  <c r="GN28" i="1"/>
  <c r="GN32" i="1"/>
  <c r="GM32" i="1"/>
  <c r="U121" i="1"/>
  <c r="F152" i="1"/>
  <c r="T162" i="1"/>
  <c r="F191" i="1"/>
  <c r="Y170" i="1" l="1"/>
  <c r="AL162" i="1"/>
  <c r="I212" i="5"/>
  <c r="GM43" i="1"/>
  <c r="CA48" i="1" s="1"/>
  <c r="T62" i="5"/>
  <c r="G212" i="5" s="1"/>
  <c r="G62" i="5"/>
  <c r="GN35" i="1"/>
  <c r="GM35" i="1"/>
  <c r="T97" i="5"/>
  <c r="G97" i="5"/>
  <c r="GM42" i="1"/>
  <c r="T94" i="5"/>
  <c r="G94" i="5"/>
  <c r="CB130" i="1"/>
  <c r="T202" i="5"/>
  <c r="G202" i="5"/>
  <c r="GN167" i="1"/>
  <c r="GM167" i="1"/>
  <c r="Q170" i="1"/>
  <c r="AD162" i="1"/>
  <c r="GN42" i="1"/>
  <c r="CB48" i="1" s="1"/>
  <c r="G163" i="5"/>
  <c r="T163" i="5"/>
  <c r="AB130" i="1"/>
  <c r="GN124" i="1"/>
  <c r="GM124" i="1"/>
  <c r="CA130" i="1" s="1"/>
  <c r="CA121" i="1" s="1"/>
  <c r="T104" i="5"/>
  <c r="G104" i="5"/>
  <c r="T145" i="5"/>
  <c r="G145" i="5"/>
  <c r="GN86" i="1"/>
  <c r="GM86" i="1"/>
  <c r="CB170" i="1"/>
  <c r="CB162" i="1" s="1"/>
  <c r="CA170" i="1"/>
  <c r="AR170" i="1" s="1"/>
  <c r="G107" i="5"/>
  <c r="T107" i="5"/>
  <c r="GM44" i="1"/>
  <c r="GN44" i="1"/>
  <c r="T135" i="5"/>
  <c r="G135" i="5"/>
  <c r="GM84" i="1"/>
  <c r="CA89" i="1" s="1"/>
  <c r="GN84" i="1"/>
  <c r="CB89" i="1" s="1"/>
  <c r="T191" i="5"/>
  <c r="G191" i="5"/>
  <c r="AB170" i="1"/>
  <c r="GM164" i="1"/>
  <c r="GN164" i="1"/>
  <c r="AS170" i="1"/>
  <c r="R121" i="1"/>
  <c r="F144" i="1"/>
  <c r="Y80" i="1"/>
  <c r="F116" i="1"/>
  <c r="CF121" i="1"/>
  <c r="AW130" i="1"/>
  <c r="T22" i="1"/>
  <c r="F221" i="1"/>
  <c r="I18" i="5" s="1"/>
  <c r="T380" i="1"/>
  <c r="CH26" i="1"/>
  <c r="AY48" i="1"/>
  <c r="CH162" i="1"/>
  <c r="AY170" i="1"/>
  <c r="AL26" i="1"/>
  <c r="Y48" i="1"/>
  <c r="CE80" i="1"/>
  <c r="AV89" i="1"/>
  <c r="R200" i="1"/>
  <c r="AX22" i="1"/>
  <c r="AX380" i="1"/>
  <c r="F207" i="1"/>
  <c r="AZ162" i="1"/>
  <c r="F181" i="1"/>
  <c r="AU22" i="1"/>
  <c r="AU380" i="1"/>
  <c r="F219" i="1"/>
  <c r="AY130" i="1"/>
  <c r="CH121" i="1"/>
  <c r="AY89" i="1"/>
  <c r="CH80" i="1"/>
  <c r="AW89" i="1"/>
  <c r="CF80" i="1"/>
  <c r="AB26" i="1"/>
  <c r="O48" i="1"/>
  <c r="AQ22" i="1"/>
  <c r="AQ380" i="1"/>
  <c r="F210" i="1"/>
  <c r="AX80" i="1"/>
  <c r="F96" i="1"/>
  <c r="AV130" i="1"/>
  <c r="CE121" i="1"/>
  <c r="U22" i="1"/>
  <c r="F222" i="1"/>
  <c r="U380" i="1"/>
  <c r="CE26" i="1"/>
  <c r="AV48" i="1"/>
  <c r="AK26" i="1"/>
  <c r="X48" i="1"/>
  <c r="AV170" i="1"/>
  <c r="CE162" i="1"/>
  <c r="F156" i="1"/>
  <c r="X121" i="1"/>
  <c r="AD26" i="1"/>
  <c r="Q48" i="1"/>
  <c r="CC121" i="1"/>
  <c r="AT130" i="1"/>
  <c r="P80" i="1"/>
  <c r="F92" i="1"/>
  <c r="BB18" i="1"/>
  <c r="F393" i="1"/>
  <c r="F100" i="1"/>
  <c r="AZ80" i="1"/>
  <c r="S26" i="1"/>
  <c r="S200" i="1"/>
  <c r="F63" i="1"/>
  <c r="F220" i="1"/>
  <c r="BA22" i="1"/>
  <c r="BA380" i="1"/>
  <c r="V22" i="1"/>
  <c r="F223" i="1"/>
  <c r="V380" i="1"/>
  <c r="AB80" i="1"/>
  <c r="O89" i="1"/>
  <c r="AR130" i="1"/>
  <c r="X162" i="1"/>
  <c r="F196" i="1"/>
  <c r="AO18" i="1"/>
  <c r="F384" i="1"/>
  <c r="AZ200" i="1"/>
  <c r="AW48" i="1"/>
  <c r="CF26" i="1"/>
  <c r="CF162" i="1"/>
  <c r="AW170" i="1"/>
  <c r="BD18" i="1"/>
  <c r="F405" i="1"/>
  <c r="Y121" i="1"/>
  <c r="F157" i="1"/>
  <c r="F115" i="1"/>
  <c r="X80" i="1"/>
  <c r="P121" i="1"/>
  <c r="F133" i="1"/>
  <c r="Q121" i="1"/>
  <c r="F142" i="1"/>
  <c r="P26" i="1"/>
  <c r="P200" i="1"/>
  <c r="F51" i="1"/>
  <c r="P162" i="1"/>
  <c r="F173" i="1"/>
  <c r="F101" i="1"/>
  <c r="Q80" i="1"/>
  <c r="W26" i="1"/>
  <c r="F72" i="1"/>
  <c r="W200" i="1"/>
  <c r="AP18" i="1"/>
  <c r="F389" i="1"/>
  <c r="CB80" i="1" l="1"/>
  <c r="AS89" i="1"/>
  <c r="CA80" i="1"/>
  <c r="AR89" i="1"/>
  <c r="AR80" i="1" s="1"/>
  <c r="H16" i="2"/>
  <c r="I17" i="5"/>
  <c r="CA162" i="1"/>
  <c r="O130" i="1"/>
  <c r="AB121" i="1"/>
  <c r="AB162" i="1"/>
  <c r="O170" i="1"/>
  <c r="CB121" i="1"/>
  <c r="AS130" i="1"/>
  <c r="F182" i="1"/>
  <c r="Q162" i="1"/>
  <c r="Y162" i="1"/>
  <c r="F197" i="1"/>
  <c r="W22" i="1"/>
  <c r="F224" i="1"/>
  <c r="W380" i="1"/>
  <c r="CA26" i="1"/>
  <c r="AR48" i="1"/>
  <c r="H18" i="2"/>
  <c r="I16" i="2"/>
  <c r="I18" i="2" s="1"/>
  <c r="F148" i="1"/>
  <c r="AT121" i="1"/>
  <c r="AT200" i="1"/>
  <c r="AV26" i="1"/>
  <c r="AV200" i="1"/>
  <c r="F53" i="1"/>
  <c r="O26" i="1"/>
  <c r="F50" i="1"/>
  <c r="AX18" i="1"/>
  <c r="F387" i="1"/>
  <c r="AY80" i="1"/>
  <c r="F97" i="1"/>
  <c r="Y26" i="1"/>
  <c r="F75" i="1"/>
  <c r="Y200" i="1"/>
  <c r="F56" i="1"/>
  <c r="AY200" i="1"/>
  <c r="AY26" i="1"/>
  <c r="AR162" i="1"/>
  <c r="F198" i="1"/>
  <c r="AS80" i="1"/>
  <c r="F106" i="1"/>
  <c r="P22" i="1"/>
  <c r="P380" i="1"/>
  <c r="F203" i="1"/>
  <c r="AW26" i="1"/>
  <c r="F54" i="1"/>
  <c r="AW200" i="1"/>
  <c r="AR121" i="1"/>
  <c r="F158" i="1"/>
  <c r="BA18" i="1"/>
  <c r="F400" i="1"/>
  <c r="S22" i="1"/>
  <c r="S380" i="1"/>
  <c r="F215" i="1"/>
  <c r="X26" i="1"/>
  <c r="X200" i="1"/>
  <c r="F74" i="1"/>
  <c r="U18" i="1"/>
  <c r="F402" i="1"/>
  <c r="F135" i="1"/>
  <c r="AV121" i="1"/>
  <c r="AQ18" i="1"/>
  <c r="F390" i="1"/>
  <c r="R22" i="1"/>
  <c r="F214" i="1"/>
  <c r="I20" i="5" s="1"/>
  <c r="R380" i="1"/>
  <c r="AW121" i="1"/>
  <c r="F136" i="1"/>
  <c r="AS162" i="1"/>
  <c r="F187" i="1"/>
  <c r="CB26" i="1"/>
  <c r="AS48" i="1"/>
  <c r="Q26" i="1"/>
  <c r="F60" i="1"/>
  <c r="Q200" i="1"/>
  <c r="O80" i="1"/>
  <c r="F91" i="1"/>
  <c r="AV162" i="1"/>
  <c r="F175" i="1"/>
  <c r="AY121" i="1"/>
  <c r="F138" i="1"/>
  <c r="AW162" i="1"/>
  <c r="F176" i="1"/>
  <c r="AZ22" i="1"/>
  <c r="AZ380" i="1"/>
  <c r="F211" i="1"/>
  <c r="V18" i="1"/>
  <c r="F403" i="1"/>
  <c r="F95" i="1"/>
  <c r="AW80" i="1"/>
  <c r="AU18" i="1"/>
  <c r="F399" i="1"/>
  <c r="AV80" i="1"/>
  <c r="F94" i="1"/>
  <c r="F178" i="1"/>
  <c r="AY162" i="1"/>
  <c r="T18" i="1"/>
  <c r="F401" i="1"/>
  <c r="O121" i="1" l="1"/>
  <c r="F132" i="1"/>
  <c r="F117" i="1"/>
  <c r="F172" i="1"/>
  <c r="O162" i="1"/>
  <c r="O200" i="1"/>
  <c r="AS121" i="1"/>
  <c r="F147" i="1"/>
  <c r="AS26" i="1"/>
  <c r="F65" i="1"/>
  <c r="AS200" i="1"/>
  <c r="Q22" i="1"/>
  <c r="F212" i="1"/>
  <c r="Q380" i="1"/>
  <c r="AT22" i="1"/>
  <c r="AT380" i="1"/>
  <c r="F218" i="1"/>
  <c r="R18" i="1"/>
  <c r="F394" i="1"/>
  <c r="AZ18" i="1"/>
  <c r="F391" i="1"/>
  <c r="AW22" i="1"/>
  <c r="F206" i="1"/>
  <c r="AW380" i="1"/>
  <c r="F383" i="1"/>
  <c r="P18" i="1"/>
  <c r="O22" i="1"/>
  <c r="O380" i="1"/>
  <c r="F202" i="1"/>
  <c r="AV22" i="1"/>
  <c r="F205" i="1"/>
  <c r="AV380" i="1"/>
  <c r="Y22" i="1"/>
  <c r="Y380" i="1"/>
  <c r="F227" i="1"/>
  <c r="W18" i="1"/>
  <c r="F404" i="1"/>
  <c r="S18" i="1"/>
  <c r="F395" i="1"/>
  <c r="X22" i="1"/>
  <c r="X380" i="1"/>
  <c r="F226" i="1"/>
  <c r="AY22" i="1"/>
  <c r="F208" i="1"/>
  <c r="AY380" i="1"/>
  <c r="AR26" i="1"/>
  <c r="F76" i="1"/>
  <c r="AR200" i="1"/>
  <c r="AS22" i="1" l="1"/>
  <c r="F217" i="1"/>
  <c r="AS380" i="1"/>
  <c r="Y18" i="1"/>
  <c r="F407" i="1"/>
  <c r="AY18" i="1"/>
  <c r="F388" i="1"/>
  <c r="AR22" i="1"/>
  <c r="F228" i="1"/>
  <c r="AR380" i="1"/>
  <c r="AV18" i="1"/>
  <c r="F385" i="1"/>
  <c r="O18" i="1"/>
  <c r="F382" i="1"/>
  <c r="AW18" i="1"/>
  <c r="F386" i="1"/>
  <c r="AT18" i="1"/>
  <c r="F398" i="1"/>
  <c r="Q18" i="1"/>
  <c r="F392" i="1"/>
  <c r="X18" i="1"/>
  <c r="F406" i="1"/>
  <c r="AS18" i="1" l="1"/>
  <c r="F397" i="1"/>
  <c r="AR18" i="1"/>
  <c r="F408" i="1"/>
</calcChain>
</file>

<file path=xl/sharedStrings.xml><?xml version="1.0" encoding="utf-8"?>
<sst xmlns="http://schemas.openxmlformats.org/spreadsheetml/2006/main" count="4853" uniqueCount="955">
  <si>
    <t>АтомСмета</t>
  </si>
  <si>
    <t>_PS_</t>
  </si>
  <si>
    <t/>
  </si>
  <si>
    <t>С2</t>
  </si>
  <si>
    <t>Капитальный ремонт помещений здания управления АЭС</t>
  </si>
  <si>
    <t>Сметные нормы списания</t>
  </si>
  <si>
    <t>Коды ценников</t>
  </si>
  <si>
    <t>ФЕР-2020 И9</t>
  </si>
  <si>
    <t>Версия 1.3.1 ГСН (ГЭСН, ФЕР) и ТЕР (Методики НР (812/пр и 636/пр) и СП (774/пр) с 22.10.2021 г.) шифры НР, СП и ПНР с версии Smeta.ru 11.4.1.0</t>
  </si>
  <si>
    <t>ФЕР-2020 - изменения И9</t>
  </si>
  <si>
    <t>Поправки для ГСН (ФЕР) 2020 от 10.01.2022 г И9 Капитальный ремонт производственных зданий</t>
  </si>
  <si>
    <t>Новая локальная смета</t>
  </si>
  <si>
    <t>Дефектная ведомость</t>
  </si>
  <si>
    <t>Новый раздел</t>
  </si>
  <si>
    <t>Кладовая</t>
  </si>
  <si>
    <t>1</t>
  </si>
  <si>
    <t>69-15-1</t>
  </si>
  <si>
    <t>Затаривание строительного мусора в мешки</t>
  </si>
  <si>
    <t>т</t>
  </si>
  <si>
    <t>ФЕРр-2001, 69-15-1, приказ Минстроя России № 876/пр от 26.12.2019</t>
  </si>
  <si>
    <t>Ремонтно-строительные работы</t>
  </si>
  <si>
    <t>Прочие ремонтно-строительные работы</t>
  </si>
  <si>
    <t>рФЕР-69</t>
  </si>
  <si>
    <t>2</t>
  </si>
  <si>
    <t>61-1-10</t>
  </si>
  <si>
    <t>Сплошное выравнивание внутренних поверхностей (однослойное оштукатуривание) из сухих растворных смесей толщиной до 10 мм для последующей окраски или оклейки обоями: потолков</t>
  </si>
  <si>
    <t>100 м2</t>
  </si>
  <si>
    <t>ФЕРр-2001, 61-1-10, приказ Минстроя России № 876/пр от 26.12.2019</t>
  </si>
  <si>
    <t>Штукатурные работы</t>
  </si>
  <si>
    <t>рФЕР-61</t>
  </si>
  <si>
    <t>3</t>
  </si>
  <si>
    <t>04.3.02.05-0003</t>
  </si>
  <si>
    <t>Смесь штукатурная М 75, КНАУФ</t>
  </si>
  <si>
    <t>кг</t>
  </si>
  <si>
    <t>ФССЦ-2001, 04.3.02.05-0003, приказ Минстроя России № 876/пр от 26.12.2019</t>
  </si>
  <si>
    <t>Материалы строительные</t>
  </si>
  <si>
    <t>Материалы и конструкции ( строительные ) по ценникам и каталогом</t>
  </si>
  <si>
    <t>ФССЦст</t>
  </si>
  <si>
    <t>4</t>
  </si>
  <si>
    <t>14.3.01.02-0101</t>
  </si>
  <si>
    <t>Грунтовка акриловая ВД-АК-133</t>
  </si>
  <si>
    <t>ФССЦ-2001, 14.3.01.02-0101, приказ Минстроя России № 876/пр от 26.12.2019</t>
  </si>
  <si>
    <t>5</t>
  </si>
  <si>
    <t>15-04-005-05</t>
  </si>
  <si>
    <t>Окраска поливинилацетатными водоэмульсионными составами улучшенная: по сборным конструкциям стен, подготовленным под окраску</t>
  </si>
  <si>
    <t>ФЕР-2001, 15-04-005-05, приказ Минстроя России № 876/пр от 26.12.2019</t>
  </si>
  <si>
    <t>)*1,20</t>
  </si>
  <si>
    <t>Общестроительные работы</t>
  </si>
  <si>
    <t>Отделочные работы</t>
  </si>
  <si>
    <t>ФЕР-15</t>
  </si>
  <si>
    <t>Поправка: Мет.421/пр 04.08.20 Пр.10 Т.3 п. 1.1</t>
  </si>
  <si>
    <t>6</t>
  </si>
  <si>
    <t>14.3.02.01-0221</t>
  </si>
  <si>
    <t>Краска водоэмульсионная для внутренних работ ВАК-10</t>
  </si>
  <si>
    <t>ФССЦ-2001, 14.3.02.01-0221, приказ Минстроя России № 876/пр от 26.12.2019</t>
  </si>
  <si>
    <t>7</t>
  </si>
  <si>
    <t>57-2-1</t>
  </si>
  <si>
    <t>Разборка покрытий полов: из линолеума и релина</t>
  </si>
  <si>
    <t>ФЕРр-2001 доп.8, 57-2-1, приказ Минстроя России № 746/пр от 14.10.2021</t>
  </si>
  <si>
    <t>Полы</t>
  </si>
  <si>
    <t>рФЕР-57</t>
  </si>
  <si>
    <t>8</t>
  </si>
  <si>
    <t>11-01-036-04</t>
  </si>
  <si>
    <t>Устройство покрытий: из линолеума насухо со свариванием полотнищ в стыках</t>
  </si>
  <si>
    <t>ФЕР-2001 доп.8, 11-01-036-04, приказ Минстроя России № 746/пр от 14.10.2021</t>
  </si>
  <si>
    <t>)*1,25)*1,20</t>
  </si>
  <si>
    <t>)*1,2)*1,15)*1,20</t>
  </si>
  <si>
    <t>)*0,85</t>
  </si>
  <si>
    <t>ФЕР-11</t>
  </si>
  <si>
    <t>Поправка: Прил.11.1, п.3.3  Поправка: М-ка 421/пр 04.08.20 п.58 п.п. б)  Поправка: Мет.421/пр 04.08.20 Пр.10 Т.3 п. 1.1</t>
  </si>
  <si>
    <t>9</t>
  </si>
  <si>
    <t>01.6.03.04-0011</t>
  </si>
  <si>
    <t>Линолеум (плитка) ARMSTRONG, ПВХ, толщиной: 2,0 мм</t>
  </si>
  <si>
    <t>м2</t>
  </si>
  <si>
    <t>ФССЦ-2001, 01.6.03.04-0011, приказ Минстроя России № 876/пр от 26.12.2019</t>
  </si>
  <si>
    <t>10</t>
  </si>
  <si>
    <t>11-01-039-01</t>
  </si>
  <si>
    <t>Устройство плинтусов: деревянных</t>
  </si>
  <si>
    <t>100 м</t>
  </si>
  <si>
    <t>ФЕР-2001 доп.6, 11-01-039-01, приказ Минстроя России № 321/пр от 24.05.2021</t>
  </si>
  <si>
    <t>)*0</t>
  </si>
  <si>
    <t>)*0,8)*1,25)*1,20</t>
  </si>
  <si>
    <t>)*0,8)*1,15)*1,20</t>
  </si>
  <si>
    <t>Поправка: МР 519/пр Табл.2, п.2  Поправка: М-ка 421/пр 04.08.20 п.58 п.п. б)  Поправка: Мет.421/пр 04.08.20 Пр.10 Т.3 п. 1.1</t>
  </si>
  <si>
    <t>11</t>
  </si>
  <si>
    <t>)*1,15)*1,20</t>
  </si>
  <si>
    <t>Поправка: М-ка 421/пр 04.08.20 п.58 п.п. б)  Поправка: Мет.421/пр 04.08.20 Пр.10 Т.3 п. 1.1</t>
  </si>
  <si>
    <t>12</t>
  </si>
  <si>
    <t>61-1-9</t>
  </si>
  <si>
    <t>Сплошное выравнивание внутренних поверхностей (однослойное оштукатуривание) из сухих растворных смесей толщиной до 10 мм для последующей окраски или оклейки обоями: стен</t>
  </si>
  <si>
    <t>ФЕРр-2001, 61-1-9, приказ Минстроя России № 876/пр от 26.12.2019</t>
  </si>
  <si>
    <t>13</t>
  </si>
  <si>
    <t>14</t>
  </si>
  <si>
    <t>15</t>
  </si>
  <si>
    <t>15-04-005-01</t>
  </si>
  <si>
    <t>Окраска поливинилацетатными водоэмульсионными составами простая по штукатурке и сборным конструкциям: стен, подготовленным под окраску</t>
  </si>
  <si>
    <t>ФЕР-2001, 15-04-005-01, приказ Минстроя России № 876/пр от 26.12.2019</t>
  </si>
  <si>
    <t>16</t>
  </si>
  <si>
    <t>17</t>
  </si>
  <si>
    <t>65-30-1</t>
  </si>
  <si>
    <t>Разборка воздуховодов из листовой стали толщиной: до 0,9 мм диаметром/периметром до 165 мм /540 мм</t>
  </si>
  <si>
    <t>ФЕРр-2001, 65-30-1, приказ Минстроя России № 876/пр от 26.12.2019</t>
  </si>
  <si>
    <t>Поправка: Сб.№65, п.1.65.3.1  Наименование: При выполнении работ с передвижных подмостей и лестниц на высоте от 3м до 5м от пола</t>
  </si>
  <si>
    <t>)*1,1</t>
  </si>
  <si>
    <t>Внутренние санитарно-технические работы</t>
  </si>
  <si>
    <t>Внутренние санитарнотехнические работы: демонтаж и разборка</t>
  </si>
  <si>
    <t>рФЕР-65</t>
  </si>
  <si>
    <t>Поправка: Сб.№65, п.1.65.3.1</t>
  </si>
  <si>
    <t>18</t>
  </si>
  <si>
    <t>20-01-001-01</t>
  </si>
  <si>
    <t>Прокладка воздуховодов из листовой, оцинкованной стали и алюминия класса Н (нормальные) толщиной 0,5 мм, диаметром до 200 мм</t>
  </si>
  <si>
    <t>ФЕР-2001, 20-01-001-01, приказ Минстроя России №1039/пр от 30.12.2016г.</t>
  </si>
  <si>
    <t>Санитарно-технические работы</t>
  </si>
  <si>
    <t>Сантехнические работы: внутренние трубопроводы, внутренние устройства водопровода, канализации, отопления, газоснабжения, вентиляция  кондиционирование воздуха</t>
  </si>
  <si>
    <t>Вентиляция и кондиционирование</t>
  </si>
  <si>
    <t>ФЕР-20</t>
  </si>
  <si>
    <t>19</t>
  </si>
  <si>
    <t>19.1.01.02-0001</t>
  </si>
  <si>
    <t>Воздуховоды из листовой стали толщиной 0,5 мм, диаметр до 200 мм</t>
  </si>
  <si>
    <t>ФССЦ-2001, 19.1.01.02-0001, приказ Минстроя России № 876/пр от 26.12.2019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</si>
  <si>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</si>
  <si>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</si>
  <si>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</si>
  <si>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</si>
  <si>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</si>
  <si>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</si>
  <si>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</si>
  <si>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</si>
  <si>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</si>
  <si>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</si>
  <si>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</si>
  <si>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</si>
  <si>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</si>
  <si>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</si>
  <si>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</si>
  <si>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</si>
  <si>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</si>
  <si>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</si>
  <si>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</si>
  <si>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</si>
  <si>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</si>
  <si>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</si>
  <si>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</si>
  <si>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</si>
  <si>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</si>
  <si>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</si>
  <si>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</si>
  <si>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</si>
  <si>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</si>
  <si>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</si>
  <si>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</si>
  <si>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</si>
  <si>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</si>
  <si>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</si>
  <si>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</si>
  <si>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</si>
  <si>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</si>
  <si>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</si>
  <si>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</si>
  <si>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</si>
  <si>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</si>
  <si>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</si>
  <si>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</si>
  <si>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</si>
  <si>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</si>
  <si>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</si>
  <si>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</si>
  <si>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</si>
  <si>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</si>
  <si>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</si>
  <si>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</si>
  <si>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</si>
  <si>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</si>
  <si>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</si>
  <si>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Помещение задвижек пожаротушения</t>
  </si>
  <si>
    <t>20</t>
  </si>
  <si>
    <t>62-17-2</t>
  </si>
  <si>
    <t>Окрашивание водоэмульсионными составами поверхностей потолков, ранее окрашенных: известковой или клеевой краской, с расчисткой старой краски свыше 10 до 35%</t>
  </si>
  <si>
    <t>ФЕРр-2001 доп. 5, 62-17-2, приказ Минстроя России № 51/пр от 09.02.2021</t>
  </si>
  <si>
    <t>)*1,15</t>
  </si>
  <si>
    <t>Малярные работы</t>
  </si>
  <si>
    <t>рФЕР-62</t>
  </si>
  <si>
    <t>Поправка: Мет.421/пр 04.08.20 Пр.10 Т.3 п. 1.2  Поправка: Сб.№62, п.2.62.5.1</t>
  </si>
  <si>
    <t>21</t>
  </si>
  <si>
    <t>ФССЦ-2001, 14.3.02.01-0221, приказ Минстроя России №1039/пр от 30.12.2016г.</t>
  </si>
  <si>
    <t>22</t>
  </si>
  <si>
    <t>65-9-1</t>
  </si>
  <si>
    <t>Смена внутренних трубопроводов из стальных труб диаметром: до 15 мм</t>
  </si>
  <si>
    <t>ФЕРр-2001, 65-9-1, приказ Минстроя России № 876/пр от 26.12.2019</t>
  </si>
  <si>
    <t>)*1,1)*1,15</t>
  </si>
  <si>
    <t>Внутренние санитарнотехнические работы: смена труб, санприборов, запорной арматуры и другое</t>
  </si>
  <si>
    <t>Поправка: Сб.№65, п.1.65.3.1  Поправка: Мет.421/пр 04.08.20 Пр.10 Т.3 п. 1.2</t>
  </si>
  <si>
    <t>23</t>
  </si>
  <si>
    <t>18.2.07.01-0004</t>
  </si>
  <si>
    <t>Узлы трубопроводов укрупненные монтажные из стальных водогазопроводных оцинкованных труб диаметром 15 мм</t>
  </si>
  <si>
    <t>м</t>
  </si>
  <si>
    <t>ФССЦ-2001, 18.2.07.01-0004, приказ Минстроя России № 876/пр от 26.12.2019</t>
  </si>
  <si>
    <t>24</t>
  </si>
  <si>
    <t>16-05-001-01</t>
  </si>
  <si>
    <t>Установка вентилей, задвижек, затворов, клапанов обратных, кранов проходных на трубопроводах из стальных труб диаметром: до 25 мм</t>
  </si>
  <si>
    <t>ШТ</t>
  </si>
  <si>
    <t>ФЕР-2001, 16-05-001-01, приказ Минстроя России № 876/пр от 26.12.2019</t>
  </si>
  <si>
    <t>)*1,25)*1,35</t>
  </si>
  <si>
    <t>)*1,15)*1,35</t>
  </si>
  <si>
    <t>Трубопроводы внутренние</t>
  </si>
  <si>
    <t>ФЕР-16</t>
  </si>
  <si>
    <t>Поправка: М-ка 421/пр 04.08.20 п.58 п.п. б)  Поправка: Мет.421/пр 04.08.20 Пр.10 Т.3 п. 1.2</t>
  </si>
  <si>
    <t>25</t>
  </si>
  <si>
    <t>18.1.09.06-0021</t>
  </si>
  <si>
    <t>Кран шаровой 11Б27п1, номинальное давление 1,0 МПа (10 кгс/см2), номинальный диаметр 15 мм, присоединение к трубопроводу муфтовое</t>
  </si>
  <si>
    <t>ФССЦ-2001, 18.1.09.06-0021, приказ Минстроя России № 876/пр от 26.12.2019</t>
  </si>
  <si>
    <t>Помещение распределительных устройств</t>
  </si>
  <si>
    <t>26</t>
  </si>
  <si>
    <t>69-19-2</t>
  </si>
  <si>
    <t>Разборка горизонтальных поверхностей бетонных конструкций при помощи отбойных молотков, бетон марки: 150</t>
  </si>
  <si>
    <t>м3</t>
  </si>
  <si>
    <t>ФЕРр-2001, 69-19-2, приказ Минстроя России № 876/пр от 26.12.2019</t>
  </si>
  <si>
    <t>Поправка: Сб.№69, п.1.69.7  Наименование: При разборке структурно разрушенного слоя бетона и железобетона</t>
  </si>
  <si>
    <t>)*0,3</t>
  </si>
  <si>
    <t>Поправка: Сб.№69, п.1.69.7</t>
  </si>
  <si>
    <t>27</t>
  </si>
  <si>
    <t>46-03-012-03</t>
  </si>
  <si>
    <t>Пробивка в бетонных конструкциях полов и стен борозд площадью сечения: свыше 50 см2 до 100 см2</t>
  </si>
  <si>
    <t>ФЕР-2001, 46-03-012-03, приказ Минстроя России № 876/пр от 26.12.2019</t>
  </si>
  <si>
    <t>)*1,25)*1,1</t>
  </si>
  <si>
    <t>)*1,15)*1,1</t>
  </si>
  <si>
    <t>Работы по реконструкции зданий и сооружений</t>
  </si>
  <si>
    <t>Работы по реконструкции зданий и сооружений: усиление и замена существующих конструкций, возведение отдельных конструктивных элементов</t>
  </si>
  <si>
    <t>ФЕР-46</t>
  </si>
  <si>
    <t>Поправка: М-ка 421/пр 04.08.20 п.58 п.п. б)  Поправка: Мет.421/пр 04.08.20 Пр.10 Т.3 п. 2</t>
  </si>
  <si>
    <t>28</t>
  </si>
  <si>
    <t>м08-02-390-01</t>
  </si>
  <si>
    <t>Короба пластмассовые: шириной до 40 мм</t>
  </si>
  <si>
    <t>ФЕРм-2001, м08-02-390-01, приказ Минстроя России № 876/пр от 26.12.2019</t>
  </si>
  <si>
    <t>)*1,3</t>
  </si>
  <si>
    <t>Монтажные работы</t>
  </si>
  <si>
    <t>Электротехнические установки: на других объектах</t>
  </si>
  <si>
    <t>мФЕР-08</t>
  </si>
  <si>
    <t>Поправка: Мет.421/пр 04.08.20 Пр.10 Т.3 п. 2</t>
  </si>
  <si>
    <t>29</t>
  </si>
  <si>
    <t>20.2.05.04-0023</t>
  </si>
  <si>
    <t>Кабель-канал (короб) 16х16 мм</t>
  </si>
  <si>
    <t>ФССЦ-2001, 20.2.05.04-0023, приказ Минстроя России № 876/пр от 26.12.2019</t>
  </si>
  <si>
    <t>Материалы монтажные</t>
  </si>
  <si>
    <t>Материалы и конструкции ( монтажные )  по ценникам и каталогам</t>
  </si>
  <si>
    <t>ФССЦм</t>
  </si>
  <si>
    <t>30</t>
  </si>
  <si>
    <t>м08-02-399-02</t>
  </si>
  <si>
    <t>Провод в коробах, сечением: до 35 мм2</t>
  </si>
  <si>
    <t>ФЕРм-2001, м08-02-399-02, приказ Минстроя России № 876/пр от 26.12.2019</t>
  </si>
  <si>
    <t>)*1,3)*1,05</t>
  </si>
  <si>
    <t>Поправка: Мет.421/пр 04.08.20 Пр.10 Т.3 п. 2  Поправка: Сб.№м 8, п.1.8. 3.1</t>
  </si>
  <si>
    <t>31</t>
  </si>
  <si>
    <t>21.2.03.05-0045</t>
  </si>
  <si>
    <t>Провод силовой установочный с медными жилами ПВ1 1,5-450</t>
  </si>
  <si>
    <t>1000 м</t>
  </si>
  <si>
    <t>ФССЦ-2001, 21.2.03.05-0045, приказ Минстроя России № 876/пр от 26.12.2019</t>
  </si>
  <si>
    <t>1000 М</t>
  </si>
  <si>
    <t>Помещения уборочного инвентаря</t>
  </si>
  <si>
    <t>32</t>
  </si>
  <si>
    <t>33</t>
  </si>
  <si>
    <t>34</t>
  </si>
  <si>
    <t>35</t>
  </si>
  <si>
    <t>15-04-005-02</t>
  </si>
  <si>
    <t>Окраска поливинилацетатными водоэмульсионными составами простая по штукатурке и сборным конструкциям: потолков, подготовленным под окраску</t>
  </si>
  <si>
    <t>ФЕР-2001, 15-04-005-02, приказ Минстроя России № 876/пр от 26.12.2019</t>
  </si>
  <si>
    <t>)*1,25</t>
  </si>
  <si>
    <t>Поправка: М-ка 421/пр 04.08.20 п.58 п.п. б)</t>
  </si>
  <si>
    <t>36</t>
  </si>
  <si>
    <t>ОБ_ПЗ</t>
  </si>
  <si>
    <t>СТОИМОСТЬ ОБОРУДОВАНИЯ</t>
  </si>
  <si>
    <t>ОБ_ТиУ%</t>
  </si>
  <si>
    <t>ТАРА И УПАКОВКА</t>
  </si>
  <si>
    <t>0.5%</t>
  </si>
  <si>
    <t>ОБ_ТР%</t>
  </si>
  <si>
    <t>ТРАНСПОРТНЫЕ РАСХОДЫ</t>
  </si>
  <si>
    <t>3%</t>
  </si>
  <si>
    <t>ОБ_К%</t>
  </si>
  <si>
    <t>КОМПЛЕКТАЦИЯ</t>
  </si>
  <si>
    <t>ОБ_ЗЧ%</t>
  </si>
  <si>
    <t>ЗАПЧАСТИ</t>
  </si>
  <si>
    <t>0%</t>
  </si>
  <si>
    <t>ОБ_НС%</t>
  </si>
  <si>
    <t>НАЦЕНКА СНАБА</t>
  </si>
  <si>
    <t>ОБ_ЗСР%</t>
  </si>
  <si>
    <t>ЗАГОТОВИТЕЛЬНО-СКЛАДСКИЕ РАСХОДЫ</t>
  </si>
  <si>
    <t>1.2%</t>
  </si>
  <si>
    <t>ОБ_Итого</t>
  </si>
  <si>
    <t>ВСЕГО, СТОИМОСТЬ ОБОРУДОВАНИЯ</t>
  </si>
  <si>
    <t>Всего Оборудования</t>
  </si>
  <si>
    <t>МР_ПЗ</t>
  </si>
  <si>
    <t>СТОИМОСТЬ МОНТАЖНЫХ РАБОТ</t>
  </si>
  <si>
    <t>МР_СТМАТ</t>
  </si>
  <si>
    <t>Стоимость материалов, учтенных в расценках</t>
  </si>
  <si>
    <t>МР_М_не_учт</t>
  </si>
  <si>
    <t>МАТЕРИАЛЬНЫЕ РЕСУРСЫ, НЕ УЧТЕННЫЕ В РАСЦЕНКАХ</t>
  </si>
  <si>
    <t>МР_Возврат_М</t>
  </si>
  <si>
    <t>МР_ОЗП</t>
  </si>
  <si>
    <t>в т.ч. ОЗП</t>
  </si>
  <si>
    <t>МР_ЭММ</t>
  </si>
  <si>
    <t>в т.ч. ЭММ</t>
  </si>
  <si>
    <t>МР_ЗПМ</t>
  </si>
  <si>
    <t>в т.ч. ЗПМ</t>
  </si>
  <si>
    <t>МР_ТЗ</t>
  </si>
  <si>
    <t>МР_ТЗМ</t>
  </si>
  <si>
    <t>МР_НР</t>
  </si>
  <si>
    <t>НАКЛАДНЫЕ РАСХОДЫ</t>
  </si>
  <si>
    <t>МР_СмПриб</t>
  </si>
  <si>
    <t>СМЕТНАЯ ПРИБЫЛЬ</t>
  </si>
  <si>
    <t>МР_Всего</t>
  </si>
  <si>
    <t>ВСЕГО, СТОИМОСТЬ МОНТАЖНЫХ РАБОТ</t>
  </si>
  <si>
    <t>Всего МР</t>
  </si>
  <si>
    <t>ОС_ПЗ</t>
  </si>
  <si>
    <t>СТОИМОСТЬ ОБЩЕСТРОИТЕЛЬНЫХ РАБОТ</t>
  </si>
  <si>
    <t>ОС_СТМАТ</t>
  </si>
  <si>
    <t>ОС_М_не_учт</t>
  </si>
  <si>
    <t>ОС_ВОЗВР_М</t>
  </si>
  <si>
    <t>ОС_ОЗП</t>
  </si>
  <si>
    <t>ОС_ЭММ</t>
  </si>
  <si>
    <t>ОС_ЗПМ</t>
  </si>
  <si>
    <t>ОС_ТЗ</t>
  </si>
  <si>
    <t>ОС_ТЗМ</t>
  </si>
  <si>
    <t>ОС_НР</t>
  </si>
  <si>
    <t>ОС_СмПриб</t>
  </si>
  <si>
    <t>ОС_Всего</t>
  </si>
  <si>
    <t>ВСЕГО, СТОИМОСТЬ ОБЩЕСТРОИТЕЛЬНЫХ РАБОТ</t>
  </si>
  <si>
    <t>Всего ОБЩ. Р</t>
  </si>
  <si>
    <t>РС_ПЗ</t>
  </si>
  <si>
    <t>СТОИМОСТЬ РЕМОНТНО_СТРОИТЕЛЬНЫХ РАБОТ</t>
  </si>
  <si>
    <t>РС_СТМАТ</t>
  </si>
  <si>
    <t>РС_М_не_учт</t>
  </si>
  <si>
    <t>РС_ВОЗВР_М</t>
  </si>
  <si>
    <t>РС_ОЗП</t>
  </si>
  <si>
    <t>РС_ЭММ</t>
  </si>
  <si>
    <t>РС_ЗПМ</t>
  </si>
  <si>
    <t>РС_ТЗ</t>
  </si>
  <si>
    <t>РС_ТЗМ</t>
  </si>
  <si>
    <t>РС_НР</t>
  </si>
  <si>
    <t>РС_СмПриб</t>
  </si>
  <si>
    <t>РС_Всего</t>
  </si>
  <si>
    <t>ВСЕГО, СТОИМОСТЬ РЕМОНТНО_СТРОИТЕЛЬНЫХ РАБОТ</t>
  </si>
  <si>
    <t>Всего Рем-стр. Р.</t>
  </si>
  <si>
    <t>РР_ПЗ</t>
  </si>
  <si>
    <t>СТОИМОСТЬ РЕМОНТНО_РЕСТАВРАЦИОННЫХ РАБОТ</t>
  </si>
  <si>
    <t>РР_СТМАТ</t>
  </si>
  <si>
    <t>РР_М_не_учт</t>
  </si>
  <si>
    <t>РР_возвр_М</t>
  </si>
  <si>
    <t>Возврат Материалов</t>
  </si>
  <si>
    <t>РР_ОЗП</t>
  </si>
  <si>
    <t>РР_ЭММ</t>
  </si>
  <si>
    <t>РР_ЗПМ</t>
  </si>
  <si>
    <t>РР_ТЗ</t>
  </si>
  <si>
    <t>РР_ТЗМ</t>
  </si>
  <si>
    <t>РР_НР</t>
  </si>
  <si>
    <t>РР_СмПриб</t>
  </si>
  <si>
    <t>РР_Всего</t>
  </si>
  <si>
    <t>ВСЕГО, СТОИМОСТЬ РЕМНТНО_РЕСТАВРАЦИОННЫХ РАБОТ</t>
  </si>
  <si>
    <t>Всего Рем-рест Р.</t>
  </si>
  <si>
    <t>МЕТ_ПЗ</t>
  </si>
  <si>
    <t>СТОИМОСТЬ МЕТАЛЛОМОНТАЖНЫХ РАБОТ</t>
  </si>
  <si>
    <t>МЕТ_СТМАТ</t>
  </si>
  <si>
    <t>МЕТ_М_не_учт</t>
  </si>
  <si>
    <t>МЕТ_ВОЗВРМАТ</t>
  </si>
  <si>
    <t>МЕТ_ОЗП</t>
  </si>
  <si>
    <t>МЕТ_ЭММ</t>
  </si>
  <si>
    <t>МЕТ_ЗПМ</t>
  </si>
  <si>
    <t>МЕТ_ТЗ</t>
  </si>
  <si>
    <t>МЕТ_ТЗМ</t>
  </si>
  <si>
    <t>МЕТ_НР</t>
  </si>
  <si>
    <t>МЕТ_СмПриб</t>
  </si>
  <si>
    <t>МЕТ_Всего</t>
  </si>
  <si>
    <t>ВСЕГО, СТОИМОСТЬ МЕТАЛЛОМОНТАЖНЫХ РАБОТ</t>
  </si>
  <si>
    <t>Всего Метал-ций</t>
  </si>
  <si>
    <t>САНТЕХ_ПЗ</t>
  </si>
  <si>
    <t>СТОИМОСТЬ САНТЕХНИЧЕСКИХ РАБОТ</t>
  </si>
  <si>
    <t>САНТЕХ_СТМАТ</t>
  </si>
  <si>
    <t>САНТЕХ_М_не_учт</t>
  </si>
  <si>
    <t>САНТЕХ_ВОЗВРМАТ</t>
  </si>
  <si>
    <t>САНТЕХ_ОЗП</t>
  </si>
  <si>
    <t>САНТЕХ_ЭММ</t>
  </si>
  <si>
    <t>САНТЕХ_ЗПМ</t>
  </si>
  <si>
    <t>САНТЕХ_ТЗ</t>
  </si>
  <si>
    <t>САНТЕХ_ТЗМ</t>
  </si>
  <si>
    <t>САНТЕХ_НР</t>
  </si>
  <si>
    <t>САНТЕХ_СмПриб</t>
  </si>
  <si>
    <t>САНТЕХ_Всего</t>
  </si>
  <si>
    <t>ВСЕГО, СТОИМОСТЬ САНТЕХНИЧЕСКИХ РАБОТ</t>
  </si>
  <si>
    <t>Всего Сантех Р.</t>
  </si>
  <si>
    <t>БУР_ПЗ</t>
  </si>
  <si>
    <t>СТОИМОСТЬ БУРОВЗРЫВНЫХ РАБОТ</t>
  </si>
  <si>
    <t>БУР_СТМАТ</t>
  </si>
  <si>
    <t>БУР_М_не_учт</t>
  </si>
  <si>
    <t>БУР_ВОЗВРМАТ</t>
  </si>
  <si>
    <t>БУР_ОЗП</t>
  </si>
  <si>
    <t>БУР_ЭММ</t>
  </si>
  <si>
    <t>БУР_ЗПМ</t>
  </si>
  <si>
    <t>БУР_ТЗ</t>
  </si>
  <si>
    <t>БУР_ТЗМ</t>
  </si>
  <si>
    <t>БУР_НР</t>
  </si>
  <si>
    <t>БУР_СмПриб</t>
  </si>
  <si>
    <t>БУР_Всего</t>
  </si>
  <si>
    <t>ВСЕГО, СТОИМОСТЬ БУРОВЗРЫВНЫХ РАБОТ</t>
  </si>
  <si>
    <t>Всего Буровзр Р.</t>
  </si>
  <si>
    <t>ГОР_ПЗ</t>
  </si>
  <si>
    <t>СТОИМОСТЬ ГОРНОПРОХОДЧЕСКИХ РАБОТ</t>
  </si>
  <si>
    <t>ГОР_СТМАТ</t>
  </si>
  <si>
    <t>ГОР_М_не_учт</t>
  </si>
  <si>
    <t>ГОРН_ВОЗВРМАТ</t>
  </si>
  <si>
    <t>ГОР_ОЗП</t>
  </si>
  <si>
    <t>ГОР_ЭММ</t>
  </si>
  <si>
    <t>ГОР_ЗПМ</t>
  </si>
  <si>
    <t>ГОР_ТЗ</t>
  </si>
  <si>
    <t>ГОР_ТЗМ</t>
  </si>
  <si>
    <t>ГОР_НР</t>
  </si>
  <si>
    <t>ГОР_СмПриб</t>
  </si>
  <si>
    <t>ГОР_Всего</t>
  </si>
  <si>
    <t>ВСЕГО, СТОИМОСТЬ ГОРНОПРОХОДЧЕСКИХ РАБОТ</t>
  </si>
  <si>
    <t>Всего Горновс. Р.</t>
  </si>
  <si>
    <t>ПРОЧ_ПЗ</t>
  </si>
  <si>
    <t>СТОИМОСТЬ ПРОЧИХ РАБОТ</t>
  </si>
  <si>
    <t>ПРОЧ_СТМАТ</t>
  </si>
  <si>
    <t>ПРОЧ_М_не_учт</t>
  </si>
  <si>
    <t>ПРОЧ_ВОЗВРМАТ</t>
  </si>
  <si>
    <t>ПРОЧ_ОЗП</t>
  </si>
  <si>
    <t>ПРОЧ_ЭММ</t>
  </si>
  <si>
    <t>ПРОЧ_ЗПМ</t>
  </si>
  <si>
    <t>ПРОЧ_ТЗ</t>
  </si>
  <si>
    <t>ПРОЧ_ТЗМ</t>
  </si>
  <si>
    <t>ПРОЧ_НР</t>
  </si>
  <si>
    <t>ПРОЧ_СмПриб</t>
  </si>
  <si>
    <t>ПРОЧ_Всего</t>
  </si>
  <si>
    <t>ВСЕГО, СТОИМОСТЬ ПРОЧИХ РАБОТ</t>
  </si>
  <si>
    <t>Всего Прочих Р.</t>
  </si>
  <si>
    <t>ПУСК_ПЗ</t>
  </si>
  <si>
    <t>СТОИМОСТЬ ПУСКОНАЛАДОЧНЫХ РАБОТ</t>
  </si>
  <si>
    <t>ПУСК_СТМАТ</t>
  </si>
  <si>
    <t>ПУСК_М_не_учт</t>
  </si>
  <si>
    <t>ПУСК_М_ВОЗВРМАТ</t>
  </si>
  <si>
    <t>ПУСК_ОЗП</t>
  </si>
  <si>
    <t>ПУСК_ЭММ</t>
  </si>
  <si>
    <t>ПУСК_ЗПМ</t>
  </si>
  <si>
    <t>ПУСК_ТЗ</t>
  </si>
  <si>
    <t>ПУСК_ТЗМ</t>
  </si>
  <si>
    <t>ПУСК_НР</t>
  </si>
  <si>
    <t>ПУСК_СмПриб</t>
  </si>
  <si>
    <t>ПУСК_Всего</t>
  </si>
  <si>
    <t>ВСЕГО, СТОИМОСТЬ ПУСКОНАЛАДОЧНЫХ РАБОТ</t>
  </si>
  <si>
    <t>Всего Пускон. Р.</t>
  </si>
  <si>
    <t>МАШ И МЕХ</t>
  </si>
  <si>
    <t>МАШИНЫ И МЕХАНИЗМЫ</t>
  </si>
  <si>
    <t>МАТЕРИАЛЫ</t>
  </si>
  <si>
    <t>ПЕРЕВ</t>
  </si>
  <si>
    <t>ПЕРЕВОЗКА</t>
  </si>
  <si>
    <t>ПОГРУЗ</t>
  </si>
  <si>
    <t>ПОГРУЗОЧНЫЕ РАБОТЫ</t>
  </si>
  <si>
    <t>ТАРА_УП</t>
  </si>
  <si>
    <t>ТАРА, УПАКОВКА</t>
  </si>
  <si>
    <t>ВСЕГО_ПЗ</t>
  </si>
  <si>
    <t>ВСЕГО ПО СМЕТЕ</t>
  </si>
  <si>
    <t>Всего по Смете</t>
  </si>
  <si>
    <t>ВСЕГО_ВОЗВРМАТ</t>
  </si>
  <si>
    <t>ВСЕГО СТОИМОСТЬ ВОЗВРАЩАЕМЫХ МАТЕРИАЛОВ</t>
  </si>
  <si>
    <t>ВСЕГО_НР</t>
  </si>
  <si>
    <t>ВСЕГО НАКЛАДНЫЕ РАСХОДЫ</t>
  </si>
  <si>
    <t>ВСЕГО_СМ ПРИБ</t>
  </si>
  <si>
    <t>ВСЕГО СМЕТНАЯ ПРИБЫЛЬ</t>
  </si>
  <si>
    <t>ВСЕГО_МАТ</t>
  </si>
  <si>
    <t>Стоимость Материалов</t>
  </si>
  <si>
    <t>ВСЕГО_ОЗП</t>
  </si>
  <si>
    <t>Оплата основных рабочих</t>
  </si>
  <si>
    <t>ВСЕГО_ЭММ</t>
  </si>
  <si>
    <t>Эксплуатация Машин и Механизмов</t>
  </si>
  <si>
    <t>ВСЕГО_ЗПМ</t>
  </si>
  <si>
    <t>Оплата механизаторов</t>
  </si>
  <si>
    <t>СМ_ЗП</t>
  </si>
  <si>
    <t>СМЕТНАЯ ЗАРАБОТНАЯ ПЛАТА</t>
  </si>
  <si>
    <t>ОЗП+ЗПМ</t>
  </si>
  <si>
    <t>ВСЕГО_ТЗ</t>
  </si>
  <si>
    <t>Трудозатраты осн. рабочих</t>
  </si>
  <si>
    <t>ВСЕГО_ТЗМ</t>
  </si>
  <si>
    <t>Трудозатраты механизаторов</t>
  </si>
  <si>
    <t>НОРМ_ТРУД</t>
  </si>
  <si>
    <t>Нормативная трудоемкость</t>
  </si>
  <si>
    <t>ТЗ+ТЗМ</t>
  </si>
  <si>
    <t>СР</t>
  </si>
  <si>
    <t>СТРОИТЕЛЬНЫЕ РАБОТЫ</t>
  </si>
  <si>
    <t>МР</t>
  </si>
  <si>
    <t>МОНТАЖНЫЕ РАБОТЫ</t>
  </si>
  <si>
    <t>ОБ</t>
  </si>
  <si>
    <t>ОБОРУДОВАНИЕ</t>
  </si>
  <si>
    <t>ПРОЧ</t>
  </si>
  <si>
    <t>ПРОЧИЕ</t>
  </si>
  <si>
    <t>СМЕТНАЯ СТОИМОСТЬ</t>
  </si>
  <si>
    <t>1т15</t>
  </si>
  <si>
    <t>труба 18х1,8</t>
  </si>
  <si>
    <t>222</t>
  </si>
  <si>
    <t>Новая переменная</t>
  </si>
  <si>
    <t>2222</t>
  </si>
  <si>
    <t>2223</t>
  </si>
  <si>
    <t>223</t>
  </si>
  <si>
    <t>224</t>
  </si>
  <si>
    <t>225</t>
  </si>
  <si>
    <t>aaa</t>
  </si>
  <si>
    <t>aaa1</t>
  </si>
  <si>
    <t>b</t>
  </si>
  <si>
    <t>co</t>
  </si>
  <si>
    <t>Coefficient</t>
  </si>
  <si>
    <t>g1</t>
  </si>
  <si>
    <t>Переменная 1</t>
  </si>
  <si>
    <t>g2</t>
  </si>
  <si>
    <t>Переменная 2</t>
  </si>
  <si>
    <t>g3</t>
  </si>
  <si>
    <t>Variable 3</t>
  </si>
  <si>
    <t>i</t>
  </si>
  <si>
    <t>inc</t>
  </si>
  <si>
    <t>Increment</t>
  </si>
  <si>
    <t>Mk</t>
  </si>
  <si>
    <t>MMM</t>
  </si>
  <si>
    <t>Моя переменная</t>
  </si>
  <si>
    <t>tt</t>
  </si>
  <si>
    <t>Voyager</t>
  </si>
  <si>
    <t>12121212</t>
  </si>
  <si>
    <t>xxx</t>
  </si>
  <si>
    <t>zzz</t>
  </si>
  <si>
    <t>высота</t>
  </si>
  <si>
    <t>стена №1</t>
  </si>
  <si>
    <t>ГлобПер</t>
  </si>
  <si>
    <t>Глобальная переменная</t>
  </si>
  <si>
    <t>длина</t>
  </si>
  <si>
    <t>К1</t>
  </si>
  <si>
    <t>Окраска, м2</t>
  </si>
  <si>
    <t>О1</t>
  </si>
  <si>
    <t>Огнезащита, м2</t>
  </si>
  <si>
    <t>Переменная</t>
  </si>
  <si>
    <t>Переменная2</t>
  </si>
  <si>
    <t>index</t>
  </si>
  <si>
    <t>Переменная3</t>
  </si>
  <si>
    <t>Переменная4</t>
  </si>
  <si>
    <t>Переменная5</t>
  </si>
  <si>
    <t>Переменная6</t>
  </si>
  <si>
    <t>Переменная7</t>
  </si>
  <si>
    <t>Переменная_1</t>
  </si>
  <si>
    <t>Переменная_13</t>
  </si>
  <si>
    <t>Переменная_2</t>
  </si>
  <si>
    <t>Переменная_3</t>
  </si>
  <si>
    <t>Переменная_5</t>
  </si>
  <si>
    <t>Переменная_6</t>
  </si>
  <si>
    <t>Переменная_7</t>
  </si>
  <si>
    <t>Переменная_8</t>
  </si>
  <si>
    <t>Переменная_9</t>
  </si>
  <si>
    <t>разработка логистики транспорта</t>
  </si>
  <si>
    <t>Т1</t>
  </si>
  <si>
    <t>Теплоизоляция, м3</t>
  </si>
  <si>
    <t>ХЕР_Г</t>
  </si>
  <si>
    <t>СТР_РЕК</t>
  </si>
  <si>
    <t>СТРОИТЕЛЬСТВО и РЕКОНСТРУКЦИЯ  зданий и сооружений всех назначений</t>
  </si>
  <si>
    <t>РЕМ_ЖИЛ</t>
  </si>
  <si>
    <t>КАП. РЕМ. ЖИЛЫХ И ОБЩЕСТВЕННЫХ ЗДАНИЙ</t>
  </si>
  <si>
    <t>РЕМ_ПР</t>
  </si>
  <si>
    <t>КАП. РЕМ. ПРОИЗВОДСТВЕННЫХ ЗД. и СООРУЖЕНИЙ,  НАРУЖНЫХ ИНЖЕНЕРНЫХ СЕТЕЙ, УЛИЦ И ДОРОГ МЕСТНОГО ЗНАЧЕНИЯ, ИНЖ,СООРУЖЕНИЙ ( ГИДРОТЕХ,СООРУЖ, МОСТОВ И ПУТЕПРОВОДОВ И Т.П.)</t>
  </si>
  <si>
    <t>Территория</t>
  </si>
  <si>
    <t>для территории Российской Федерации, не относящейся к районам Крайнего Севера и приравненным к ним местностям</t>
  </si>
  <si>
    <t>МПРКС</t>
  </si>
  <si>
    <t>для территории Российской Федерации, относящейся к местностям, приравненным к районам Крайнего Севера</t>
  </si>
  <si>
    <t>РКС</t>
  </si>
  <si>
    <t>для территории Российской Федерации, относящейся к районам Крайнего Севера</t>
  </si>
  <si>
    <t>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</si>
  <si>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АЭС.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</si>
  <si>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</si>
  <si>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АЭС</t>
  </si>
  <si>
    <t>При определении сметной стоимости строительства объектов капитального строительства АЭС.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</si>
  <si>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</si>
  <si>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ОПТ/В</t>
  </si>
  <si>
    <t>{вкл}    - Прокладка  МЕЖДУГОРОДНЫХ  ВОЛОКОННО-ОПТИЧЕСКИХ ЛИНИЙ (для ФЕРм10, отд. 6 разд.3)  {выкл} - Прокладка  ГОРОДСКИХ               ВОЛОКОННО-ОПТИТЕСКИХ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</si>
  <si>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</si>
  <si>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АВИ</t>
  </si>
  <si>
    <t>(вкл)   -  При работах по ДИСПЕТЧЕРЕЗАЦИИ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</si>
  <si>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</si>
  <si>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ЗАКР</t>
  </si>
  <si>
    <t>{вкл}   -  Обслуживающие и сопутстующие работы в тоннелях при  производве работ ЗАКРЫТЫМ СПОСОБОМ   {выкл} - Обслуживающие и сопутстующие работы в тоннелях при  производве работ  ОТКРЫТЫМ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</si>
  <si>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</si>
  <si>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ГОР</t>
  </si>
  <si>
    <t>(вкл) - ФЕРм-08, выполнение работ на горнорудных объектах  (выкл) - ФЕРм-08, выполнение работ на других объектах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</si>
  <si>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</si>
  <si>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</si>
  <si>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</si>
  <si>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</si>
  <si>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</si>
  <si>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</si>
  <si>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К_НР_СЛЖ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</si>
  <si>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объектов атомных электрических станций.  ( если {СЛЖ} = [вкл] )</t>
  </si>
  <si>
    <t>К_НР_АЭС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</si>
  <si>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Для объектов атомных электрических станций.  ( если {АЭС} = [вкл] )</t>
  </si>
  <si>
    <t>Р_ОКР</t>
  </si>
  <si>
    <t>Разрядность округления результата расчета НР и СП  (с 05.04.2020 - до семи знаков после запятой)</t>
  </si>
  <si>
    <t>Лист_НРиСП</t>
  </si>
  <si>
    <t>Уровень цен</t>
  </si>
  <si>
    <t>_OBSM_</t>
  </si>
  <si>
    <t>1-100-10</t>
  </si>
  <si>
    <t>Затраты труда рабочих (Средний разряд - 1)</t>
  </si>
  <si>
    <t>чел.-ч.</t>
  </si>
  <si>
    <t>01.7.20.03-0003</t>
  </si>
  <si>
    <t>ФССЦ-2001, 01.7.20.03-0003, приказ Минстроя России № 876/пр от 26.12.2019</t>
  </si>
  <si>
    <t>Мешки полипропиленовые (50 кг)</t>
  </si>
  <si>
    <t>100 ШТ</t>
  </si>
  <si>
    <t>1-100-29</t>
  </si>
  <si>
    <t>Затраты труда рабочих (Средний разряд - 2,9)</t>
  </si>
  <si>
    <t>4-100-00</t>
  </si>
  <si>
    <t>Затраты труда машинистов</t>
  </si>
  <si>
    <t>91.06.05-011</t>
  </si>
  <si>
    <t>ФСЭМ-2001, 91.06.05-011 , приказ Минстроя России № 876/пр от 26.12.2019</t>
  </si>
  <si>
    <t>Погрузчики, грузоподъемность 5 т</t>
  </si>
  <si>
    <t>маш.-ч.</t>
  </si>
  <si>
    <t>91.06.06-048</t>
  </si>
  <si>
    <t>ФСЭМ-2001, 91.06.06-048 , приказ Минстроя России № 876/пр от 26.12.2019</t>
  </si>
  <si>
    <t>Подъемники одномачтовые, грузоподъемность до 500 кг, высота подъема 45 м</t>
  </si>
  <si>
    <t>91.07.08-024</t>
  </si>
  <si>
    <t>ФСЭМ-2001, 91.07.08-024 , приказ Минстроя России № 876/пр от 26.12.2019</t>
  </si>
  <si>
    <t>Растворосмесители передвижные, объем барабана 65 л</t>
  </si>
  <si>
    <t>01.7.03.01-0001</t>
  </si>
  <si>
    <t>ФССЦ-2001, 01.7.03.01-0001, приказ Минстроя России № 876/пр от 26.12.2019</t>
  </si>
  <si>
    <t>Вода</t>
  </si>
  <si>
    <t>1-100-34</t>
  </si>
  <si>
    <t>Затраты труда рабочих (Средний разряд - 3,4)</t>
  </si>
  <si>
    <t>91.14.02-001</t>
  </si>
  <si>
    <t>ФСЭМ-2001, 91.14.02-001 , приказ Минстроя России № 876/пр от 26.12.2019</t>
  </si>
  <si>
    <t>Автомобили бортовые, грузоподъемность до 5 т</t>
  </si>
  <si>
    <t>01.7.17.11-0011</t>
  </si>
  <si>
    <t>ФССЦ-2001, 01.7.17.11-0011, приказ Минстроя России № 876/пр от 26.12.2019</t>
  </si>
  <si>
    <t>Шкурка шлифовальная двухслойная с зернистостью 40-25</t>
  </si>
  <si>
    <t>01.7.20.08-0051</t>
  </si>
  <si>
    <t>ФССЦ-2001, 01.7.20.08-0051, приказ Минстроя России № 876/пр от 26.12.2019</t>
  </si>
  <si>
    <t>Ветошь</t>
  </si>
  <si>
    <t>14.5.11.01-0001</t>
  </si>
  <si>
    <t>ФССЦ-2001, 14.5.11.01-0001, приказ Минстроя России № 876/пр от 26.12.2019</t>
  </si>
  <si>
    <t>Шпатлевка клеевая</t>
  </si>
  <si>
    <t>1-100-20</t>
  </si>
  <si>
    <t>Затраты труда рабочих (Средний разряд - 2)</t>
  </si>
  <si>
    <t>1-100-27</t>
  </si>
  <si>
    <t>Затраты труда рабочих (Средний разряд - 2,7)</t>
  </si>
  <si>
    <t>01.7.03.04-0001</t>
  </si>
  <si>
    <t>ФССЦ-2001, 01.7.03.04-0001, приказ Минстроя России № 876/пр от 26.12.2019</t>
  </si>
  <si>
    <t>Электроэнергия</t>
  </si>
  <si>
    <t>КВТ-Ч</t>
  </si>
  <si>
    <t>01.7.06.14-0034</t>
  </si>
  <si>
    <t>ФССЦ-2001, 01.7.06.14-0034, приказ Минстроя России № 876/пр от 26.12.2019</t>
  </si>
  <si>
    <t>Лента полимерная (фторопластовая) для сварки линолеума</t>
  </si>
  <si>
    <t>1-100-30</t>
  </si>
  <si>
    <t>Затраты труда рабочих (Средний разряд - 3)</t>
  </si>
  <si>
    <t>01.7.15.06-0123</t>
  </si>
  <si>
    <t>ФССЦ-2001, 01.7.15.06-0123, приказ Минстроя России № 876/пр от 26.12.2019</t>
  </si>
  <si>
    <t>Гвозди строительные с плоской головкой, размер 1,8x60 мм</t>
  </si>
  <si>
    <t>11.1.01.14-0014</t>
  </si>
  <si>
    <t>ФССЦ-2001, 11.1.01.14-0014, приказ Минстроя России № 876/пр от 26.12.2019</t>
  </si>
  <si>
    <t>Плинтус для полов из древесины, тип ПЛ-2, сечение 19x54 мм</t>
  </si>
  <si>
    <t>1-100-32</t>
  </si>
  <si>
    <t>Рабочий среднего разряда 3.2</t>
  </si>
  <si>
    <t>91.05.05-014</t>
  </si>
  <si>
    <t>ФСЭМ-2001, 91.05.05-014, приказ Минстроя России №1039/пр от 30.12.2016г.</t>
  </si>
  <si>
    <t>Краны на автомобильном ходу, грузоподъемность 10 т</t>
  </si>
  <si>
    <t>маш.-ч</t>
  </si>
  <si>
    <t>91.06.03-055</t>
  </si>
  <si>
    <t>ФСЭМ-2001, 91.06.03-055, приказ Минстроя России №1039/пр от 30.12.2016г.</t>
  </si>
  <si>
    <t>Лебедки электрические тяговым усилием 19,62 кН (2 т)</t>
  </si>
  <si>
    <t>ФСЭМ-2001, 91.14.02-001, приказ Минстроя России №1039/пр от 30.12.2016г.</t>
  </si>
  <si>
    <t>91.17.04-233</t>
  </si>
  <si>
    <t>ФСЭМ-2001, 91.17.04-233, приказ Минстроя России №1039/пр от 30.12.2016г.</t>
  </si>
  <si>
    <t>Установки для сварки ручной дуговой (постоянного тока)</t>
  </si>
  <si>
    <t>01.1.01.09-0026</t>
  </si>
  <si>
    <t>ФССЦ-2001, 01.1.01.09-0026, приказ Минстроя России №1039/пр от 30.12.2016г.</t>
  </si>
  <si>
    <t>Шнур асбестовый общего назначения марки ШАОН диаметром 8-10 мм</t>
  </si>
  <si>
    <t>01.7.11.07-0045</t>
  </si>
  <si>
    <t>ФССЦ-2001, 01.7.11.07-0045, приказ Минстроя России №1039/пр от 30.12.2016г.</t>
  </si>
  <si>
    <t>Электроды диаметром 5 мм Э42А</t>
  </si>
  <si>
    <t>01.7.15.03-0041</t>
  </si>
  <si>
    <t>ФССЦ-2001, 01.7.15.03-0041, приказ Минстроя России №1039/пр от 30.12.2016г.</t>
  </si>
  <si>
    <t>Болты с гайками и шайбами строительные</t>
  </si>
  <si>
    <t>01.7.19.04-0031</t>
  </si>
  <si>
    <t>ФССЦ-2001, 01.7.19.04-0031, приказ Минстроя России №1039/пр от 30.12.2016г.</t>
  </si>
  <si>
    <t>Прокладки резиновые (пластина техническая прессованная)</t>
  </si>
  <si>
    <t>14.5.04.03-0002</t>
  </si>
  <si>
    <t>ФССЦ-2001, 14.5.04.03-0002, приказ Минстроя России №1039/пр от 30.12.2016г.</t>
  </si>
  <si>
    <t>Мастика герметизирующая нетвердеющая «Гэлан»</t>
  </si>
  <si>
    <t>1-100-31</t>
  </si>
  <si>
    <t>Затраты труда рабочих (Средний разряд - 3,1)</t>
  </si>
  <si>
    <t>01.7.07.08-0003</t>
  </si>
  <si>
    <t>ФССЦ-2001, 01.7.07.08-0003, приказ Минстроя России № 876/пр от 26.12.2019</t>
  </si>
  <si>
    <t>Мыло хозяйственное твердое 72%</t>
  </si>
  <si>
    <t>01.7.08.04-0003</t>
  </si>
  <si>
    <t>ФССЦ-2001, 01.7.08.04-0003, приказ Минстроя России № 876/пр от 26.12.2019</t>
  </si>
  <si>
    <t>Мел природный молотый</t>
  </si>
  <si>
    <t>14.1.03.02-0201</t>
  </si>
  <si>
    <t>ФССЦ-2001, 14.1.03.02-0201, приказ Минстроя России № 876/пр от 26.12.2019</t>
  </si>
  <si>
    <t>Клей малярный жидкий</t>
  </si>
  <si>
    <t>1-100-40</t>
  </si>
  <si>
    <t>Затраты труда рабочих (Средний разряд - 4)</t>
  </si>
  <si>
    <t>91.17.04-042</t>
  </si>
  <si>
    <t>ФСЭМ-2001, 91.17.04-042 , приказ Минстроя России № 876/пр от 26.12.2019</t>
  </si>
  <si>
    <t>Аппараты для газовой сварки и резки</t>
  </si>
  <si>
    <t>ФСЭМ-2001, 91.17.04-233 , приказ Минстроя России № 876/пр от 26.12.2019</t>
  </si>
  <si>
    <t>01.3.02.03-0001</t>
  </si>
  <si>
    <t>ФССЦ-2001, 01.3.02.03-0001, приказ Минстроя России № 876/пр от 26.12.2019</t>
  </si>
  <si>
    <t>Ацетилен газообразный технический</t>
  </si>
  <si>
    <t>01.3.02.08-0001</t>
  </si>
  <si>
    <t>ФССЦ-2001, 01.3.02.08-0001, приказ Минстроя России № 876/пр от 26.12.2019</t>
  </si>
  <si>
    <t>Кислород газообразный технический</t>
  </si>
  <si>
    <t>01.7.07.29-0101</t>
  </si>
  <si>
    <t>ФССЦ-2001, 01.7.07.29-0101, приказ Минстроя России № 876/пр от 26.12.2019</t>
  </si>
  <si>
    <t>Очес льняной</t>
  </si>
  <si>
    <t>01.7.11.04-0072</t>
  </si>
  <si>
    <t>ФССЦ-2001, 01.7.11.04-0072, приказ Минстроя России № 876/пр от 26.12.2019</t>
  </si>
  <si>
    <t>Проволока сварочная легированная, диаметр 4 мм</t>
  </si>
  <si>
    <t>ФССЦ-2001, 01.7.11.07-0045, приказ Минстроя России № 876/пр от 26.12.2019</t>
  </si>
  <si>
    <t>Электроды сварочные Э42А, диаметр 5 мм</t>
  </si>
  <si>
    <t>14.4.02.04-0142</t>
  </si>
  <si>
    <t>ФССЦ-2001, 14.4.02.04-0142, приказ Минстроя России № 876/пр от 26.12.2019</t>
  </si>
  <si>
    <t>Краска масляная земляная МА-0115, мумия, сурик железный</t>
  </si>
  <si>
    <t>14.5.05.01-0012</t>
  </si>
  <si>
    <t>ФССЦ-2001, 14.5.05.01-0012, приказ Минстроя России № 876/пр от 26.12.2019</t>
  </si>
  <si>
    <t>Олифа комбинированная для разведения масляных густотертых красок и для внешних работ по деревянным поверхностям</t>
  </si>
  <si>
    <t>1-100-35</t>
  </si>
  <si>
    <t>Затраты труда рабочих (Средний разряд - 3,5)</t>
  </si>
  <si>
    <t>01.1.02.08-0001</t>
  </si>
  <si>
    <t>ФССЦ-2001, 01.1.02.08-0001, приказ Минстроя России № 876/пр от 26.12.2019</t>
  </si>
  <si>
    <t>Прокладки из паронита ПМБ, толщина 1 мм, диаметр 50 мм</t>
  </si>
  <si>
    <t>1000 ШТ</t>
  </si>
  <si>
    <t>01.7.15.03-0013</t>
  </si>
  <si>
    <t>ФССЦ-2001, 01.7.15.03-0013, приказ Минстроя России № 876/пр от 26.12.2019</t>
  </si>
  <si>
    <t>Болты с гайками и шайбами для санитарно-технических работ, диаметр 12 мм</t>
  </si>
  <si>
    <t>91.18.01-012</t>
  </si>
  <si>
    <t>ФСЭМ-2001, 91.18.01-012 , приказ Минстроя России № 876/пр от 26.12.2019</t>
  </si>
  <si>
    <t>Компрессоры передвижные с электродвигателем давление 600 кПа (6 ат), производительность до 3,5 м3/мин</t>
  </si>
  <si>
    <t>91.21.10-003</t>
  </si>
  <si>
    <t>ФСЭМ-2001, 91.21.10-003 , приказ Минстроя России № 876/пр от 26.12.2019</t>
  </si>
  <si>
    <t>Молотки при работе от передвижных компрессорных станций отбойные пневматические</t>
  </si>
  <si>
    <t>1-100-38</t>
  </si>
  <si>
    <t>Затраты труда рабочих (Средний разряд - 3,8)</t>
  </si>
  <si>
    <t>91.18.01-508</t>
  </si>
  <si>
    <t>ФСЭМ-2001, 91.18.01-508 , приказ Минстроя России № 876/пр от 26.12.2019</t>
  </si>
  <si>
    <t>Компрессоры передвижные с электродвигателем, производительность до 5,0 м3/мин</t>
  </si>
  <si>
    <t>1-100-39</t>
  </si>
  <si>
    <t>Затраты труда рабочих (Средний разряд - 3,9)</t>
  </si>
  <si>
    <t>01.7.15.07-0022</t>
  </si>
  <si>
    <t>ФССЦ-2001, 01.7.15.07-0022, приказ Минстроя России № 876/пр от 26.12.2019</t>
  </si>
  <si>
    <t>Дюбели распорные полиэтиленовые, размер 6x40 мм</t>
  </si>
  <si>
    <t>01.7.15.14-0165</t>
  </si>
  <si>
    <t>ФССЦ-2001, 01.7.15.14-0165, приказ Минстроя России № 876/пр от 26.12.2019</t>
  </si>
  <si>
    <t>Шурупы с полукруглой головкой 4x40 мм</t>
  </si>
  <si>
    <t>999-9950</t>
  </si>
  <si>
    <t>Вспомогательные ненормируемые материалы (2% от ОЗП)</t>
  </si>
  <si>
    <t>РУБ</t>
  </si>
  <si>
    <t>91.05.05-015</t>
  </si>
  <si>
    <t>ФСЭМ-2001, 91.05.05-015 , приказ Минстроя России № 876/пр от 26.12.2019</t>
  </si>
  <si>
    <t>Краны на автомобильном ходу, грузоподъемность 16 т</t>
  </si>
  <si>
    <t>01.7.06.05-0041</t>
  </si>
  <si>
    <t>ФССЦ-2001, 01.7.06.05-0041, приказ Минстроя России № 876/пр от 26.12.2019</t>
  </si>
  <si>
    <t>Лента изоляционная прорезиненная односторонняя, ширина 20 мм, толщина 0,25-0,35 мм</t>
  </si>
  <si>
    <t>01.7.06.07-0002</t>
  </si>
  <si>
    <t>ФССЦ-2001, 01.7.06.07-0002, приказ Минстроя России № 876/пр от 26.12.2019</t>
  </si>
  <si>
    <t>Лента монтажная, тип ЛМ-5</t>
  </si>
  <si>
    <t>10 м</t>
  </si>
  <si>
    <t>14.4.02.09-0001</t>
  </si>
  <si>
    <t>ФССЦ-2001, 14.4.02.09-0001, приказ Минстроя России № 876/пр от 26.12.2019</t>
  </si>
  <si>
    <t>Краска</t>
  </si>
  <si>
    <t>04.3.02.09</t>
  </si>
  <si>
    <t>Смеси на цементной основе</t>
  </si>
  <si>
    <t>14.4.01.02</t>
  </si>
  <si>
    <t>Грунтовка</t>
  </si>
  <si>
    <t>14.3.02.01</t>
  </si>
  <si>
    <t>Краска водоэмульсионная</t>
  </si>
  <si>
    <t>999-9900</t>
  </si>
  <si>
    <t>Строительный мусор</t>
  </si>
  <si>
    <t>01.6.03.04</t>
  </si>
  <si>
    <t>Линолеум</t>
  </si>
  <si>
    <t>08.1.02.17</t>
  </si>
  <si>
    <t>Сетки в рамках</t>
  </si>
  <si>
    <t>19.1.01.11</t>
  </si>
  <si>
    <t>Крепления</t>
  </si>
  <si>
    <t>19.1.01.13</t>
  </si>
  <si>
    <t>Воздуховоды металлические</t>
  </si>
  <si>
    <t>19.3.01.01</t>
  </si>
  <si>
    <t>Дроссель-клапаны в патрубке</t>
  </si>
  <si>
    <t>шт.</t>
  </si>
  <si>
    <t>19.3.02.07</t>
  </si>
  <si>
    <t>Шиберы</t>
  </si>
  <si>
    <t>24.3.05.02</t>
  </si>
  <si>
    <t>Заглушки питометражных лючков</t>
  </si>
  <si>
    <t>18.1.09.06</t>
  </si>
  <si>
    <t>Арматура трубопроводная муфтовая</t>
  </si>
  <si>
    <t>18.2.07.01</t>
  </si>
  <si>
    <t>Трубопроводы с гильзами</t>
  </si>
  <si>
    <t>23.1.02.07</t>
  </si>
  <si>
    <t>18.1.02.01</t>
  </si>
  <si>
    <t>Арматура трубопроводная фланцевая</t>
  </si>
  <si>
    <t>23.8.03.11</t>
  </si>
  <si>
    <t>Фланцы стальные</t>
  </si>
  <si>
    <t>Поправка: Мет.421/пр 04.08.20 Пр.10 Т.3 п. 1.1  Наименование: Производство ремонтно-строительных работ осуществляется в помещениях эксплуатируемого объекта капитального строительства без остановки рабочего процесса, при этом: в зоне производства ремонтно-строительных работ отсутствуют действующее технологическое или лабораторное оборудование, мебель и иные загромождающие помещения предметы</t>
  </si>
  <si>
    <t>Поправка: Прил.11.1, п.3.3  Наименование: Укладка линолиума, релина и ковровых покрытий с рисунком, требующими подгонки на стыках (к=1,25 к расходу линолеума, релина и ковровых покрытий)  Поправка: М-ка 421/пр 04.08.20 п.58 п.п. б)  Наименование: При отсутствии необходимых норм (единичных расценок), включенных в сборники ГЭСНр (ФЕРр, ТЕРр), сметные затраты на работы по капитальному ремонту и реконструкции объектов капитального строительства могут быть определены по сметным нормам, включенным в ГЭСН (ФЕР, ТЕР), аналогичным технологическим процессам в новом строительстве, в том числе по возведению новых конструктивных элементов  Поправка: Мет.421/пр 04.08.20 Пр.10 Т.3 п. 1.1  Наименование: Производство ремонтно-строительных работ осуществляется в помещениях эксплуатируемого объекта капитального строительства без остановки рабочего процесса, при этом: в зоне производства ремонтно-строительных работ отсутствуют действующее технологическое или лабораторное оборудование, мебель и иные загромождающие помещения предметы</t>
  </si>
  <si>
    <t>Поправка: МР 519/пр Табл.2, п.2  Наименование: При демонтаже (разборке) сборных деревянных конструкций  Поправка: М-ка 421/пр 04.08.20 п.58 п.п. б)  Наименование: При отсутствии необходимых норм (единичных расценок), включенных в сборники ГЭСНр (ФЕРр, ТЕРр), сметные затраты на работы по капитальному ремонту и реконструкции объектов капитального строительства могут быть определены по сметным нормам, включенным в ГЭСН (ФЕР, ТЕР), аналогичным технологическим процессам в новом строительстве, в том числе по возведению новых конструктивных элементов  Поправка: Мет.421/пр 04.08.20 Пр.10 Т.3 п. 1.1  Наименование: Производство ремонтно-строительных работ осуществляется в помещениях эксплуатируемого объекта капитального строительства без остановки рабочего процесса, при этом: в зоне производства ремонтно-строительных работ отсутствуют действующее технологическое или лабораторное оборудование, мебель и иные загромождающие помещения предметы</t>
  </si>
  <si>
    <t>Поправка: М-ка 421/пр 04.08.20 п.58 п.п. б)  Наименование: При отсутствии необходимых норм (единичных расценок), включенных в сборники ГЭСНр (ФЕРр, ТЕРр), сметные затраты на работы по капитальному ремонту и реконструкции объектов капитального строительства могут быть определены по сметным нормам, включенным в ГЭСН (ФЕР, ТЕР), аналогичным технологическим процессам в новом строительстве, в том числе по возведению новых конструктивных элементов  Поправка: Мет.421/пр 04.08.20 Пр.10 Т.3 п. 1.1  Наименование: Производство ремонтно-строительных работ осуществляется в помещениях эксплуатируемого объекта капитального строительства без остановки рабочего процесса, при этом: в зоне производства ремонтно-строительных работ отсутствуют действующее технологическое или лабораторное оборудование, мебель и иные загромождающие помещения предметы</t>
  </si>
  <si>
    <t>Поправка: Мет.421/пр 04.08.20 Пр.10 Т.3 п. 1.2  Наименование: Производство ремонтно-строительных работ осуществляется в помещениях эксплуатируемого объекта капитального строительства без остановки рабочего процесса, при этом: в зоне производства ремонтно-строительных работ имеются действующее технологическое или лабораторное оборудование, мебель и иные загромождающие помещения предметы  Поправка: Сб.№62, п.2.62.5.1  Наименование: Площадь окраски потолков определяется: ребристых перекрытий по площади их горизонтальной поверхности с коэффициентом 1,6</t>
  </si>
  <si>
    <t>Поправка: Сб.№65, п.1.65.3.1  Наименование: При выполнении работ с передвижных подмостей и лестниц на высоте от 3м до 5м от пола  Поправка: Мет.421/пр 04.08.20 Пр.10 Т.3 п. 1.2  Наименование: Производство ремонтно-строительных работ осуществляется в помещениях эксплуатируемого объекта капитального строительства без остановки рабочего процесса, при этом: в зоне производства ремонтно-строительных работ имеются действующее технологическое или лабораторное оборудование, мебель и иные загромождающие помещения предметы</t>
  </si>
  <si>
    <t>Поправка: М-ка 421/пр 04.08.20 п.58 п.п. б)  Наименование: При отсутствии необходимых норм (единичных расценок), включенных в сборники ГЭСНр (ФЕРр, ТЕРр), сметные затраты на работы по капитальному ремонту и реконструкции объектов капитального строительства могут быть определены по сметным нормам, включенным в ГЭСН (ФЕР, ТЕР), аналогичным технологическим процессам в новом строительстве, в том числе по возведению новых конструктивных элементов  Поправка: Мет.421/пр 04.08.20 Пр.10 Т.3 п. 1.2  Наименование: Производство ремонтно-строительных работ осуществляется в помещениях эксплуатируемого объекта капитального строительства без остановки рабочего процесса, при этом: в зоне производства ремонтно-строительных работ имеются действующее технологическое или лабораторное оборудование, мебель и иные загромождающие помещения предметы</t>
  </si>
  <si>
    <t>Поправка: М-ка 421/пр 04.08.20 п.58 п.п. б)  Наименование: При отсутствии необходимых норм (единичных расценок), включенных в сборники ГЭСНр (ФЕРр, ТЕРр), сметные затраты на работы по капитальному ремонту и реконструкции объектов капитального строительства могут быть определены по сметным нормам, включенным в ГЭСН (ФЕР, ТЕР), аналогичным технологическим процессам в новом строительстве, в том числе по возведению новых конструктивных элементов  Поправка: Мет.421/пр 04.08.20 Пр.10 Т.3 п. 2  Наименование: Производство ремонтно-строительных работ осуществляется в помещениях объекта капитального строительства с остановкой рабочего процесса, при этом в зоне производства ремонтно- строительных работ имеются действующее технологическое или лабораторное оборудование, мебель и иные загромождающие помещения предметы</t>
  </si>
  <si>
    <t>Поправка: Мет.421/пр 04.08.20 Пр.10 Т.3 п. 2  Наименование: Производство ремонтно-строительных работ осуществляется в помещениях объекта капитального строительства с остановкой рабочего процесса, при этом в зоне производства ремонтно- строительных работ имеются действующее технологическое или лабораторное оборудование, мебель и иные загромождающие помещения предметы</t>
  </si>
  <si>
    <t>Поправка: Мет.421/пр 04.08.20 Пр.10 Т.3 п. 2  Наименование: Производство ремонтно-строительных работ осуществляется в помещениях объекта капитального строительства с остановкой рабочего процесса, при этом в зоне производства ремонтно- строительных работ имеются действующее технологическое или лабораторное оборудование, мебель и иные загромождающие помещения предметы  Поправка: Сб.№м 8, п.1.8. 3.1  Наименование: При производстве работ на высоте св. 2 до 8 м</t>
  </si>
  <si>
    <t>Поправка: М-ка 421/пр 04.08.20 п.58 п.п. б)  Наименование: При отсутствии необходимых норм (единичных расценок), включенных в сборники ГЭСНр (ФЕРр, ТЕРр), сметные затраты на работы по капитальному ремонту и реконструкции объектов капитального строительства могут быть определены по сметным нормам, включенным в ГЭСН (ФЕР, ТЕР), аналогичным технологическим процессам в новом строительстве, в том числе по возведению новых конструктивных элементов</t>
  </si>
  <si>
    <t xml:space="preserve">Стройка: </t>
  </si>
  <si>
    <t xml:space="preserve">Объект: </t>
  </si>
  <si>
    <t>Основание:</t>
  </si>
  <si>
    <t xml:space="preserve">Сметная стоимость: </t>
  </si>
  <si>
    <t>тыс.руб.</t>
  </si>
  <si>
    <t>в том числе:</t>
  </si>
  <si>
    <t>строительных работ</t>
  </si>
  <si>
    <t>монтажных работ</t>
  </si>
  <si>
    <t>оборудования</t>
  </si>
  <si>
    <t>прочие</t>
  </si>
  <si>
    <t xml:space="preserve">возврат: </t>
  </si>
  <si>
    <t xml:space="preserve">Нормативная трудоемкость: </t>
  </si>
  <si>
    <t>тыс.чел.ч.</t>
  </si>
  <si>
    <t xml:space="preserve">Сметная заработная плата: </t>
  </si>
  <si>
    <t>Строительный объем:</t>
  </si>
  <si>
    <t>Стоимость ед.стр.объема:</t>
  </si>
  <si>
    <t>№ поз.</t>
  </si>
  <si>
    <t>Шифр и № позиции норматива</t>
  </si>
  <si>
    <t>Наименование работ и затрат, Единица измерения</t>
  </si>
  <si>
    <t>Кол-во</t>
  </si>
  <si>
    <t>Стоимость единицы, руб.</t>
  </si>
  <si>
    <t>Общая стоимость, руб.</t>
  </si>
  <si>
    <t xml:space="preserve">Затраты труда рабочих чел.-ч, </t>
  </si>
  <si>
    <t>всего</t>
  </si>
  <si>
    <t>эксплуатации машин</t>
  </si>
  <si>
    <t>оплата труда рабочих</t>
  </si>
  <si>
    <t>машинистов</t>
  </si>
  <si>
    <t>в т.ч. оплата труда машин.</t>
  </si>
  <si>
    <t>на единицу</t>
  </si>
  <si>
    <t>ФЕРр 69-15-1</t>
  </si>
  <si>
    <t>НР=93% (НР=4)</t>
  </si>
  <si>
    <t>СП=44% (СП=2)</t>
  </si>
  <si>
    <t>ФЕРр 61-1-10</t>
  </si>
  <si>
    <t>Объем: 48/100</t>
  </si>
  <si>
    <t>НР=90% (НР=158)</t>
  </si>
  <si>
    <t>СП=44% (СП=77)</t>
  </si>
  <si>
    <t>ФССЦ 04.3.02.05-0003</t>
  </si>
  <si>
    <t>Объем: 48*0,907</t>
  </si>
  <si>
    <t>ФССЦ 14.3.01.02-0101</t>
  </si>
  <si>
    <t>Объем: 0,48*0,13/1000</t>
  </si>
  <si>
    <t>ФЕР 15-04-005-05</t>
  </si>
  <si>
    <t>НР=101% (НР=121)</t>
  </si>
  <si>
    <t>СП=49% (СП=59)</t>
  </si>
  <si>
    <t>Поправки: ЭММ (6,88)*1,20;   ЗПМ (1,30)*1,20;   ОЗП (207,21)*1,20;   ТЗ (23,10)*1,20;   ТЗМ (0,11)*1,20</t>
  </si>
  <si>
    <t>ФССЦ 14.3.02.01-0221</t>
  </si>
  <si>
    <t>Объем: 0,48*0,063</t>
  </si>
  <si>
    <t>ФЕРр 57-2-1</t>
  </si>
  <si>
    <t>НР=90% (НР=40)</t>
  </si>
  <si>
    <t>СП=49% (СП=22)</t>
  </si>
  <si>
    <t>ФЕР 11-01-036-04</t>
  </si>
  <si>
    <t>НР=113% (НР=242)</t>
  </si>
  <si>
    <t>СП=55,25% (СП=118)</t>
  </si>
  <si>
    <t>Поправки: ЭММ ((42,17)*1,25)*1,20;   ЗПМ ((10,16)*1,25)*1,20;   ОЗП (((261,02)*1,2)*1,15)*1,20;   ТЗ (((31,41)*1,2)*1,15)*1,20;   ТЗМ ((0,82)*1,25)*1,20;   СП (65)*0,85</t>
  </si>
  <si>
    <t>ФССЦ 01.6.03.04-0011</t>
  </si>
  <si>
    <t>Объем: 48*1,25</t>
  </si>
  <si>
    <t>ФЕР 11-01-039-01</t>
  </si>
  <si>
    <t>Объем: 27/100</t>
  </si>
  <si>
    <t>НР=113% (НР=23)</t>
  </si>
  <si>
    <t>СП=55,25% (СП=11)</t>
  </si>
  <si>
    <t>Поправки: Мат (496,43)*0;   ЭММ (((5,57)*0,8)*1,25)*1,20;   ЗПМ (((1,07)*0,8)*1,25)*1,20;   ОЗП (((65,51)*0,8)*1,15)*1,20;   ТЗ (((7,68)*0,8)*1,15)*1,20;   ТЗМ (((0,09)*0,8)*1,25)*1,20;   СП (65)*0,85</t>
  </si>
  <si>
    <t>НР=113% (НР=27)</t>
  </si>
  <si>
    <t>СП=55,25% (СП=13)</t>
  </si>
  <si>
    <t>Поправки: ЭММ ((5,57)*1,25)*1,20;   ЗПМ ((1,07)*1,25)*1,20;   ОЗП ((65,51)*1,15)*1,20;   ТЗ ((7,68)*1,15)*1,20;   ТЗМ ((0,09)*1,25)*1,20;   СП (65)*0,85</t>
  </si>
  <si>
    <t>ФЕРр 61-1-9</t>
  </si>
  <si>
    <t>Объем: 95,8/100</t>
  </si>
  <si>
    <t>НР=90% (НР=270)</t>
  </si>
  <si>
    <t>СП=44% (СП=132)</t>
  </si>
  <si>
    <t>Объем: 0,958*0,855*1000</t>
  </si>
  <si>
    <t>Объем: 95,8*0,106/1000</t>
  </si>
  <si>
    <t>ФЕР 15-04-005-01</t>
  </si>
  <si>
    <t>НР=101% (НР=168)</t>
  </si>
  <si>
    <t>СП=41,65% (СП=69)</t>
  </si>
  <si>
    <t>Поправки: ЭММ ((5,57)*1,25)*1,20;   ЗПМ ((1,07)*1,25)*1,20;   ОЗП ((123,79)*1,15)*1,20;   ТЗ ((13,80)*1,15)*1,20;   ТЗМ ((0,09)*1,25)*1,20;   СП (49)*0,85</t>
  </si>
  <si>
    <t>Объем: 0,958*0,052</t>
  </si>
  <si>
    <t>ФЕРр 65-30-1</t>
  </si>
  <si>
    <t>Объем: (2*3,14*0,125*14,5)/100</t>
  </si>
  <si>
    <t>НР=88% (НР=36)</t>
  </si>
  <si>
    <t>СП=44% (СП=18)</t>
  </si>
  <si>
    <t>Поправки: ОЗП (315,61)*1,1;   ТЗ (37,00)*1,1</t>
  </si>
  <si>
    <t>ФЕР 20-01-001-01</t>
  </si>
  <si>
    <t>НР=122% (НР=285)</t>
  </si>
  <si>
    <t>СП=70,55% (СП=165)</t>
  </si>
  <si>
    <t>Поправки: ЭММ ((126,58)*1,25)*1,20;   ЗПМ ((16,07)*1,25)*1,20;   ОЗП ((1 467,10)*1,15)*1,20;   ТЗ ((167,86)*1,15)*1,20;   ТЗМ ((1,30)*1,25)*1,20;   СП (83)*0,85</t>
  </si>
  <si>
    <t>ФССЦ 19.1.01.02-0001</t>
  </si>
  <si>
    <t>ФЕРр 62-17-2</t>
  </si>
  <si>
    <t>Объем: 14,4*1,6/100</t>
  </si>
  <si>
    <t>НР=91% (НР=64)</t>
  </si>
  <si>
    <t>СП=46% (СП=32)</t>
  </si>
  <si>
    <t>Поправки: ЭММ (7,07)*1,15;   ЗПМ (2,05)*1,15;   ОЗП (260,06)*1,15;   ТЗ (30,10)*1,15;   ТЗМ (0,16)*1,15</t>
  </si>
  <si>
    <t>Объем: 0,2304*0,067</t>
  </si>
  <si>
    <t>ФЕРр 65-9-1</t>
  </si>
  <si>
    <t>Объем: 12/100</t>
  </si>
  <si>
    <t>НР=104% (НР=120)</t>
  </si>
  <si>
    <t>СП=52% (СП=60)</t>
  </si>
  <si>
    <t>Поправки: ЭММ (61,14)*1,15;   ЗПМ (5,28)*1,15;   ОЗП ((748,44)*1,1)*1,15;   ТЗ ((77,80)*1,1)*1,15;   ТЗМ (0,42)*1,15</t>
  </si>
  <si>
    <t>ФССЦ 18.2.07.01-0004</t>
  </si>
  <si>
    <t>ФЕР 16-05-001-01</t>
  </si>
  <si>
    <t>НР=122% (НР=50)</t>
  </si>
  <si>
    <t>СП=61,2% (СП=25)</t>
  </si>
  <si>
    <t>Поправки: ЭММ ((3,50)*1,25)*1,35;   ЗПМ ((0,12)*1,25)*1,35;   ОЗП ((13,33)*1,15)*1,35;   ТЗ ((1,47)*1,15)*1,35;   ТЗМ ((0,01)*1,25)*1,35;   СП (72)*0,85</t>
  </si>
  <si>
    <t>ФССЦ 18.1.09.06-0021</t>
  </si>
  <si>
    <t>ФЕРр 69-19-2</t>
  </si>
  <si>
    <t>НР=93% (НР=100)</t>
  </si>
  <si>
    <t>СП=44% (СП=47)</t>
  </si>
  <si>
    <t>Поправки: Мат (0,00)*0,3;   ЭММ (289,82)*0,3;   ЗПМ (0,00)*0,3;   ОЗП (149,19)*0,3;   ТЗ (17,49)*0,3;   ТЗМ (0,00)*0,3</t>
  </si>
  <si>
    <t>ФЕР 46-03-012-03</t>
  </si>
  <si>
    <t>Объем: 2,5/100</t>
  </si>
  <si>
    <t>НР=104% (НР=23)</t>
  </si>
  <si>
    <t>СП=50,15% (СП=11)</t>
  </si>
  <si>
    <t>Поправки: ЭММ ((1 121,95)*1,25)*1,1;   ЗПМ ((0,00)*1,25)*1,1;   ОЗП ((689,40)*1,15)*1,1;   ТЗ ((73,34)*1,15)*1,1;   ТЗМ ((0,00)*1,25)*1,1;   СП (59)*0,85</t>
  </si>
  <si>
    <t>ФЕРм 08-02-390-01</t>
  </si>
  <si>
    <t>Объем: 23/100</t>
  </si>
  <si>
    <t>НР=98% (НР=45)</t>
  </si>
  <si>
    <t>СП=51% (СП=23)</t>
  </si>
  <si>
    <t>Поправки: ЭММ (0,31)*1,3;   ЗПМ (0,14)*1,3;   ОЗП (154,92)*1,3;   ТЗ (16,29)*1,3;   ТЗМ (0,01)*1,3</t>
  </si>
  <si>
    <t>ФССЦ 20.2.05.04-0023</t>
  </si>
  <si>
    <t>ФЕРм 08-02-399-02</t>
  </si>
  <si>
    <t>НР=98% (НР=11)</t>
  </si>
  <si>
    <t>СП=51% (СП=6)</t>
  </si>
  <si>
    <t>Поправки: ЭММ (1,81)*1,3;   ЗПМ (0,26)*1,3;   ОЗП ((35,34)*1,3)*1,05;   ТЗ ((3,76)*1,3)*1,05;   ТЗМ (0,02)*1,3</t>
  </si>
  <si>
    <t>ФССЦ 21.2.03.05-0045</t>
  </si>
  <si>
    <t>Объем: 23*1,03/1000</t>
  </si>
  <si>
    <t>Объем: 23,9/100</t>
  </si>
  <si>
    <t>НР=90% (НР=79)</t>
  </si>
  <si>
    <t>СП=44% (СП=39)</t>
  </si>
  <si>
    <t>Объем: 23,9*0,907</t>
  </si>
  <si>
    <t>Объем: 23,9*0,13/1000</t>
  </si>
  <si>
    <t>ФЕР 15-04-005-02</t>
  </si>
  <si>
    <t>НР=101% (НР=38)</t>
  </si>
  <si>
    <t>СП=41,65% (СП=16)</t>
  </si>
  <si>
    <t>Поправки: ЭММ (6,22)*1,25;   ЗПМ (1,18)*1,25;   ОЗП (138,14)*1,15;   ТЗ (15,40)*1,15;   ТЗМ (0,10)*1,25;   СП (49)*0,85</t>
  </si>
  <si>
    <t>Объем: 0,239*0,052</t>
  </si>
  <si>
    <t>НАКЛАДНЫЕ РАСХОДЫ (%=98 по стр. 28, 30)</t>
  </si>
  <si>
    <t>СМЕТНАЯ ПРИБЫЛЬ (%=51 по стр. 28, 30)</t>
  </si>
  <si>
    <t>НАКЛАДНЫЕ РАСХОДЫ (%=101 по стр. 5, 15, 35; %=104 по стр. 27; %=113 по стр. 8, 10-11)</t>
  </si>
  <si>
    <t>СМЕТНАЯ ПРИБЫЛЬ (%=41,65 по стр. 15, 35; %=49 по стр. 5; %=50,15 по стр. 27; %=55,25 по стр. 8, 10-11)</t>
  </si>
  <si>
    <t>НАКЛАДНЫЕ РАСХОДЫ (%=88 по стр. 17; %=90 по стр. 2, 7, 12, 32; %=91 по стр. 20; %=93 по стр. 1, 26; %=104 по стр. 22)</t>
  </si>
  <si>
    <t>СМЕТНАЯ ПРИБЫЛЬ (%=44 по стр. 1-2, 12, 17, 26, 32; %=46 по стр. 20; %=49 по стр. 7; %=52 по стр. 22)</t>
  </si>
  <si>
    <t>НАКЛАДНЫЕ РАСХОДЫ (%=122 по стр. 18, 24)</t>
  </si>
  <si>
    <t>СМЕТНАЯ ПРИБЫЛЬ (%=61,2 по стр. 24; %=70,55 по стр. 18)</t>
  </si>
  <si>
    <t xml:space="preserve">Составил:   </t>
  </si>
  <si>
    <t>(должность, подпись, Ф.И.О)</t>
  </si>
  <si>
    <t xml:space="preserve">Проверил:   </t>
  </si>
  <si>
    <t>ФЕР-2001 (редакция 2020г. с изм.1-9)</t>
  </si>
  <si>
    <t>Примечание</t>
  </si>
  <si>
    <t>Капитальный ремонт помещений здания управления</t>
  </si>
  <si>
    <t>Демонтаж плинтусов: деревянных, 100 м</t>
  </si>
  <si>
    <t>ЛОКАЛЬНАЯ СМЕТА № Б2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</si>
</sst>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;[Red]\-\ #,##0.00"/>
    <numFmt numFmtId="165" formatCode="#,##0;[Red]\-\ #,##0"/>
    <numFmt numFmtId="166" formatCode="#,##0.00###;[Red]\-\ #,##0.00####"/>
    <numFmt numFmtId="167" formatCode="\(#,##0.00\);[Red]\-\ \(#,##0.00\)"/>
    <numFmt numFmtId="168" formatCode="\(#,##0\);[Red]\-\ \(#,##0\)"/>
  </numFmts>
  <fonts count="18" x14ac:knownFonts="1">
    <font>
      <sz val="10"/>
      <name val="Arial"/>
      <charset val="204"/>
    </font>
    <font>
      <b/>
      <sz val="10"/>
      <color indexed="12"/>
      <name val="Arial"/>
      <family val="2"/>
      <charset val="204"/>
    </font>
    <font>
      <b/>
      <sz val="10"/>
      <color indexed="16"/>
      <name val="Arial"/>
      <family val="2"/>
      <charset val="204"/>
    </font>
    <font>
      <b/>
      <sz val="10"/>
      <color indexed="20"/>
      <name val="Arial"/>
      <family val="2"/>
      <charset val="204"/>
    </font>
    <font>
      <b/>
      <sz val="10"/>
      <color indexed="17"/>
      <name val="Arial"/>
      <family val="2"/>
      <charset val="204"/>
    </font>
    <font>
      <b/>
      <sz val="10"/>
      <color indexed="14"/>
      <name val="Arial"/>
      <family val="2"/>
      <charset val="204"/>
    </font>
    <font>
      <sz val="10"/>
      <color indexed="12"/>
      <name val="Arial"/>
      <family val="2"/>
      <charset val="204"/>
    </font>
    <font>
      <sz val="10"/>
      <color indexed="14"/>
      <name val="Arial"/>
      <family val="2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u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sz val="9"/>
      <name val="Arial Cyr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10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 vertical="center" wrapText="1"/>
    </xf>
    <xf numFmtId="0" fontId="9" fillId="0" borderId="0" xfId="0" quotePrefix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horizontal="left" vertical="center" wrapText="1"/>
    </xf>
    <xf numFmtId="49" fontId="10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Continuous" vertical="center" wrapText="1"/>
    </xf>
    <xf numFmtId="0" fontId="13" fillId="0" borderId="2" xfId="0" applyFont="1" applyBorder="1" applyAlignment="1">
      <alignment horizontal="right" vertical="top"/>
    </xf>
    <xf numFmtId="164" fontId="13" fillId="0" borderId="2" xfId="0" applyNumberFormat="1" applyFont="1" applyBorder="1" applyAlignment="1">
      <alignment horizontal="right" vertical="top"/>
    </xf>
    <xf numFmtId="165" fontId="13" fillId="0" borderId="2" xfId="0" applyNumberFormat="1" applyFont="1" applyBorder="1" applyAlignment="1">
      <alignment horizontal="right" vertical="top"/>
    </xf>
    <xf numFmtId="166" fontId="13" fillId="0" borderId="2" xfId="0" applyNumberFormat="1" applyFont="1" applyBorder="1" applyAlignment="1">
      <alignment horizontal="right" vertical="top"/>
    </xf>
    <xf numFmtId="0" fontId="13" fillId="0" borderId="9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right" vertical="top" wrapText="1"/>
    </xf>
    <xf numFmtId="167" fontId="13" fillId="0" borderId="2" xfId="0" applyNumberFormat="1" applyFont="1" applyBorder="1" applyAlignment="1">
      <alignment horizontal="right" vertical="top"/>
    </xf>
    <xf numFmtId="168" fontId="13" fillId="0" borderId="2" xfId="0" applyNumberFormat="1" applyFont="1" applyBorder="1" applyAlignment="1">
      <alignment horizontal="right" vertical="top"/>
    </xf>
    <xf numFmtId="0" fontId="13" fillId="0" borderId="8" xfId="0" quotePrefix="1" applyFont="1" applyBorder="1" applyAlignment="1">
      <alignment horizontal="left" vertical="top" wrapText="1"/>
    </xf>
    <xf numFmtId="0" fontId="14" fillId="0" borderId="2" xfId="0" applyFont="1" applyBorder="1" applyAlignment="1">
      <alignment horizontal="right" vertical="center" wrapText="1"/>
    </xf>
    <xf numFmtId="165" fontId="14" fillId="0" borderId="2" xfId="0" applyNumberFormat="1" applyFont="1" applyBorder="1" applyAlignment="1">
      <alignment horizontal="right" vertical="center" wrapText="1"/>
    </xf>
    <xf numFmtId="166" fontId="14" fillId="0" borderId="2" xfId="0" applyNumberFormat="1" applyFont="1" applyBorder="1" applyAlignment="1">
      <alignment horizontal="right" vertical="center" wrapText="1"/>
    </xf>
    <xf numFmtId="165" fontId="14" fillId="0" borderId="2" xfId="0" applyNumberFormat="1" applyFont="1" applyBorder="1" applyAlignment="1">
      <alignment horizontal="right"/>
    </xf>
    <xf numFmtId="0" fontId="14" fillId="0" borderId="2" xfId="0" applyFont="1" applyBorder="1" applyAlignment="1">
      <alignment horizontal="right"/>
    </xf>
    <xf numFmtId="166" fontId="14" fillId="0" borderId="2" xfId="0" applyNumberFormat="1" applyFont="1" applyBorder="1" applyAlignment="1">
      <alignment horizontal="right"/>
    </xf>
    <xf numFmtId="0" fontId="14" fillId="0" borderId="2" xfId="0" applyFont="1" applyBorder="1" applyAlignment="1">
      <alignment horizontal="left" vertical="top" wrapText="1"/>
    </xf>
    <xf numFmtId="165" fontId="14" fillId="0" borderId="2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right" vertical="center"/>
    </xf>
    <xf numFmtId="166" fontId="14" fillId="0" borderId="2" xfId="0" applyNumberFormat="1" applyFont="1" applyBorder="1" applyAlignment="1">
      <alignment horizontal="right" vertical="center"/>
    </xf>
    <xf numFmtId="49" fontId="8" fillId="0" borderId="0" xfId="1" applyNumberFormat="1" applyFont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/>
    </xf>
    <xf numFmtId="0" fontId="8" fillId="0" borderId="0" xfId="0" applyFont="1" applyBorder="1" applyAlignment="1">
      <alignment vertical="center" wrapText="1"/>
    </xf>
    <xf numFmtId="0" fontId="8" fillId="0" borderId="2" xfId="0" applyFont="1" applyBorder="1"/>
    <xf numFmtId="165" fontId="8" fillId="0" borderId="0" xfId="0" applyNumberFormat="1" applyFont="1"/>
    <xf numFmtId="166" fontId="8" fillId="0" borderId="0" xfId="0" applyNumberFormat="1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49" fontId="12" fillId="0" borderId="0" xfId="1" applyNumberFormat="1" applyFont="1" applyAlignment="1">
      <alignment horizontal="left" vertical="center"/>
    </xf>
    <xf numFmtId="0" fontId="12" fillId="0" borderId="0" xfId="0" applyFont="1" applyAlignment="1">
      <alignment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14" fillId="0" borderId="2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165" fontId="14" fillId="0" borderId="9" xfId="0" applyNumberFormat="1" applyFont="1" applyBorder="1" applyAlignment="1">
      <alignment horizontal="right" vertical="center"/>
    </xf>
    <xf numFmtId="165" fontId="14" fillId="0" borderId="8" xfId="0" applyNumberFormat="1" applyFont="1" applyBorder="1" applyAlignment="1">
      <alignment horizontal="right" vertical="center"/>
    </xf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165" fontId="14" fillId="0" borderId="9" xfId="0" applyNumberFormat="1" applyFont="1" applyBorder="1" applyAlignment="1">
      <alignment horizontal="right" vertical="center" wrapText="1"/>
    </xf>
    <xf numFmtId="165" fontId="14" fillId="0" borderId="8" xfId="0" applyNumberFormat="1" applyFont="1" applyBorder="1" applyAlignment="1">
      <alignment horizontal="right" vertical="center" wrapText="1"/>
    </xf>
    <xf numFmtId="0" fontId="13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/>
    </xf>
    <xf numFmtId="0" fontId="13" fillId="0" borderId="8" xfId="0" applyFont="1" applyBorder="1" applyAlignment="1">
      <alignment horizontal="left" vertical="top"/>
    </xf>
    <xf numFmtId="0" fontId="13" fillId="0" borderId="9" xfId="0" applyFont="1" applyBorder="1" applyAlignment="1">
      <alignment horizontal="right" vertical="top"/>
    </xf>
    <xf numFmtId="0" fontId="13" fillId="0" borderId="8" xfId="0" applyFont="1" applyBorder="1" applyAlignment="1">
      <alignment horizontal="right" vertical="top"/>
    </xf>
    <xf numFmtId="165" fontId="13" fillId="0" borderId="9" xfId="0" applyNumberFormat="1" applyFont="1" applyBorder="1" applyAlignment="1">
      <alignment horizontal="right" vertical="top"/>
    </xf>
    <xf numFmtId="165" fontId="13" fillId="0" borderId="8" xfId="0" applyNumberFormat="1" applyFont="1" applyBorder="1" applyAlignment="1">
      <alignment horizontal="right" vertical="top"/>
    </xf>
    <xf numFmtId="0" fontId="14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164" fontId="10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8" fillId="0" borderId="1" xfId="0" applyFont="1" applyBorder="1" applyAlignment="1">
      <alignment horizontal="left" vertical="center" wrapText="1"/>
    </xf>
    <xf numFmtId="49" fontId="8" fillId="0" borderId="2" xfId="0" quotePrefix="1" applyNumberFormat="1" applyFont="1" applyBorder="1" applyAlignment="1">
      <alignment horizontal="center" vertical="center" wrapText="1"/>
    </xf>
    <xf numFmtId="0" fontId="10" fillId="0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quotePrefix="1" applyFont="1" applyFill="1" applyBorder="1" applyAlignment="1">
      <alignment horizontal="left" vertical="top" wrapText="1"/>
    </xf>
    <xf numFmtId="0" fontId="13" fillId="0" borderId="0" xfId="0" quotePrefix="1" applyFont="1" applyFill="1" applyBorder="1" applyAlignment="1">
      <alignment horizontal="left" vertical="top" wrapText="1"/>
    </xf>
    <xf numFmtId="0" fontId="8" fillId="0" borderId="0" xfId="0" applyNumberFormat="1" applyFont="1" applyAlignment="1">
      <alignment horizontal="left" vertical="center" wrapText="1"/>
    </xf>
    <xf numFmtId="0" fontId="8" fillId="0" borderId="0" xfId="0" applyFont="1" applyFill="1" applyAlignment="1">
      <alignment horizontal="right" vertical="center" wrapText="1"/>
    </xf>
    <xf numFmtId="0" fontId="8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164" fontId="11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 indent="6"/>
    </xf>
  </cellXfs>
  <cellStyles count="2">
    <cellStyle name="Обычный" xfId="0" builtinId="0"/>
    <cellStyle name="Обычный_ЛС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/>
  </sheetViews>
  <sheetFormatPr defaultRowHeight="12.75" x14ac:dyDescent="0.2"/>
  <sheetData>
    <row r="1" spans="1:13" x14ac:dyDescent="0.2">
      <c r="A1">
        <v>500001</v>
      </c>
      <c r="B1">
        <v>3</v>
      </c>
      <c r="C1">
        <v>0</v>
      </c>
      <c r="D1">
        <v>0</v>
      </c>
      <c r="E1">
        <v>75</v>
      </c>
      <c r="F1">
        <v>0</v>
      </c>
      <c r="G1">
        <v>0</v>
      </c>
      <c r="H1">
        <v>0</v>
      </c>
      <c r="I1">
        <v>75</v>
      </c>
      <c r="J1">
        <v>0</v>
      </c>
      <c r="K1">
        <v>0</v>
      </c>
      <c r="L1">
        <v>0</v>
      </c>
      <c r="M1">
        <v>0</v>
      </c>
    </row>
    <row r="2" spans="1:13" x14ac:dyDescent="0.2">
      <c r="A2">
        <v>500001</v>
      </c>
      <c r="B2">
        <v>4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1</v>
      </c>
      <c r="J2">
        <v>0</v>
      </c>
      <c r="K2">
        <v>0</v>
      </c>
      <c r="L2">
        <v>0</v>
      </c>
      <c r="M2">
        <v>0</v>
      </c>
    </row>
    <row r="3" spans="1:13" x14ac:dyDescent="0.2">
      <c r="A3">
        <v>500001</v>
      </c>
      <c r="B3">
        <v>6</v>
      </c>
      <c r="C3">
        <v>0</v>
      </c>
      <c r="D3">
        <v>0</v>
      </c>
      <c r="E3">
        <v>449</v>
      </c>
      <c r="F3">
        <v>0</v>
      </c>
      <c r="G3">
        <v>0</v>
      </c>
      <c r="H3">
        <v>0</v>
      </c>
      <c r="I3">
        <v>449</v>
      </c>
      <c r="J3">
        <v>0</v>
      </c>
      <c r="K3">
        <v>0</v>
      </c>
      <c r="L3">
        <v>0</v>
      </c>
      <c r="M3">
        <v>0</v>
      </c>
    </row>
    <row r="4" spans="1:13" x14ac:dyDescent="0.2">
      <c r="A4">
        <v>500001</v>
      </c>
      <c r="B4">
        <v>9</v>
      </c>
      <c r="C4">
        <v>0</v>
      </c>
      <c r="D4">
        <v>0</v>
      </c>
      <c r="E4">
        <v>9060</v>
      </c>
      <c r="F4">
        <v>0</v>
      </c>
      <c r="G4">
        <v>0</v>
      </c>
      <c r="H4">
        <v>0</v>
      </c>
      <c r="I4">
        <v>9060</v>
      </c>
      <c r="J4">
        <v>0</v>
      </c>
      <c r="K4">
        <v>0</v>
      </c>
      <c r="L4">
        <v>0</v>
      </c>
      <c r="M4">
        <v>0</v>
      </c>
    </row>
    <row r="5" spans="1:13" x14ac:dyDescent="0.2">
      <c r="A5">
        <v>500001</v>
      </c>
      <c r="B5">
        <v>13</v>
      </c>
      <c r="C5">
        <v>0</v>
      </c>
      <c r="D5">
        <v>0</v>
      </c>
      <c r="E5">
        <v>1409</v>
      </c>
      <c r="F5">
        <v>0</v>
      </c>
      <c r="G5">
        <v>0</v>
      </c>
      <c r="H5">
        <v>0</v>
      </c>
      <c r="I5">
        <v>1409</v>
      </c>
      <c r="J5">
        <v>0</v>
      </c>
      <c r="K5">
        <v>0</v>
      </c>
      <c r="L5">
        <v>0</v>
      </c>
      <c r="M5">
        <v>0</v>
      </c>
    </row>
    <row r="6" spans="1:13" x14ac:dyDescent="0.2">
      <c r="A6">
        <v>500001</v>
      </c>
      <c r="B6">
        <v>14</v>
      </c>
      <c r="C6">
        <v>0</v>
      </c>
      <c r="D6">
        <v>0</v>
      </c>
      <c r="E6">
        <v>118</v>
      </c>
      <c r="F6">
        <v>0</v>
      </c>
      <c r="G6">
        <v>0</v>
      </c>
      <c r="H6">
        <v>0</v>
      </c>
      <c r="I6">
        <v>118</v>
      </c>
      <c r="J6">
        <v>0</v>
      </c>
      <c r="K6">
        <v>0</v>
      </c>
      <c r="L6">
        <v>0</v>
      </c>
      <c r="M6">
        <v>0</v>
      </c>
    </row>
    <row r="7" spans="1:13" x14ac:dyDescent="0.2">
      <c r="A7">
        <v>500001</v>
      </c>
      <c r="B7">
        <v>16</v>
      </c>
      <c r="C7">
        <v>0</v>
      </c>
      <c r="D7">
        <v>0</v>
      </c>
      <c r="E7">
        <v>739</v>
      </c>
      <c r="F7">
        <v>0</v>
      </c>
      <c r="G7">
        <v>0</v>
      </c>
      <c r="H7">
        <v>0</v>
      </c>
      <c r="I7">
        <v>739</v>
      </c>
      <c r="J7">
        <v>0</v>
      </c>
      <c r="K7">
        <v>0</v>
      </c>
      <c r="L7">
        <v>0</v>
      </c>
      <c r="M7">
        <v>0</v>
      </c>
    </row>
    <row r="8" spans="1:13" x14ac:dyDescent="0.2">
      <c r="A8">
        <v>500001</v>
      </c>
      <c r="B8">
        <v>19</v>
      </c>
      <c r="C8">
        <v>0</v>
      </c>
      <c r="D8">
        <v>0</v>
      </c>
      <c r="E8">
        <v>907</v>
      </c>
      <c r="F8">
        <v>0</v>
      </c>
      <c r="G8">
        <v>0</v>
      </c>
      <c r="H8">
        <v>0</v>
      </c>
      <c r="I8">
        <v>907</v>
      </c>
      <c r="J8">
        <v>0</v>
      </c>
      <c r="K8">
        <v>0</v>
      </c>
      <c r="L8">
        <v>0</v>
      </c>
      <c r="M8">
        <v>0</v>
      </c>
    </row>
    <row r="9" spans="1:13" x14ac:dyDescent="0.2">
      <c r="A9">
        <v>500001</v>
      </c>
      <c r="B9">
        <v>21</v>
      </c>
      <c r="C9">
        <v>0</v>
      </c>
      <c r="D9">
        <v>0</v>
      </c>
      <c r="E9">
        <v>228</v>
      </c>
      <c r="F9">
        <v>0</v>
      </c>
      <c r="G9">
        <v>0</v>
      </c>
      <c r="H9">
        <v>0</v>
      </c>
      <c r="I9">
        <v>228</v>
      </c>
      <c r="J9">
        <v>0</v>
      </c>
      <c r="K9">
        <v>0</v>
      </c>
      <c r="L9">
        <v>0</v>
      </c>
      <c r="M9">
        <v>0</v>
      </c>
    </row>
    <row r="10" spans="1:13" x14ac:dyDescent="0.2">
      <c r="A10">
        <v>500001</v>
      </c>
      <c r="B10">
        <v>23</v>
      </c>
      <c r="C10">
        <v>0</v>
      </c>
      <c r="D10">
        <v>0</v>
      </c>
      <c r="E10">
        <v>339</v>
      </c>
      <c r="F10">
        <v>0</v>
      </c>
      <c r="G10">
        <v>0</v>
      </c>
      <c r="H10">
        <v>0</v>
      </c>
      <c r="I10">
        <v>339</v>
      </c>
      <c r="J10">
        <v>0</v>
      </c>
      <c r="K10">
        <v>0</v>
      </c>
      <c r="L10">
        <v>0</v>
      </c>
      <c r="M10">
        <v>0</v>
      </c>
    </row>
    <row r="11" spans="1:13" x14ac:dyDescent="0.2">
      <c r="A11">
        <v>500001</v>
      </c>
      <c r="B11">
        <v>25</v>
      </c>
      <c r="C11">
        <v>0</v>
      </c>
      <c r="D11">
        <v>0</v>
      </c>
      <c r="E11">
        <v>31</v>
      </c>
      <c r="F11">
        <v>0</v>
      </c>
      <c r="G11">
        <v>0</v>
      </c>
      <c r="H11">
        <v>0</v>
      </c>
      <c r="I11">
        <v>31</v>
      </c>
      <c r="J11">
        <v>0</v>
      </c>
      <c r="K11">
        <v>0</v>
      </c>
      <c r="L11">
        <v>0</v>
      </c>
      <c r="M11">
        <v>0</v>
      </c>
    </row>
    <row r="12" spans="1:13" x14ac:dyDescent="0.2">
      <c r="A12">
        <v>500002</v>
      </c>
      <c r="B12">
        <v>29</v>
      </c>
      <c r="C12">
        <v>0</v>
      </c>
      <c r="D12">
        <v>0</v>
      </c>
      <c r="E12">
        <v>27</v>
      </c>
      <c r="F12">
        <v>0</v>
      </c>
      <c r="G12">
        <v>0</v>
      </c>
      <c r="H12">
        <v>0</v>
      </c>
      <c r="I12">
        <v>27</v>
      </c>
      <c r="J12">
        <v>0</v>
      </c>
      <c r="K12">
        <v>0</v>
      </c>
      <c r="L12">
        <v>0</v>
      </c>
      <c r="M12">
        <v>0</v>
      </c>
    </row>
    <row r="13" spans="1:13" x14ac:dyDescent="0.2">
      <c r="A13">
        <v>500002</v>
      </c>
      <c r="B13">
        <v>31</v>
      </c>
      <c r="C13">
        <v>0</v>
      </c>
      <c r="D13">
        <v>0</v>
      </c>
      <c r="E13">
        <v>32</v>
      </c>
      <c r="F13">
        <v>0</v>
      </c>
      <c r="G13">
        <v>0</v>
      </c>
      <c r="H13">
        <v>0</v>
      </c>
      <c r="I13">
        <v>32</v>
      </c>
      <c r="J13">
        <v>0</v>
      </c>
      <c r="K13">
        <v>0</v>
      </c>
      <c r="L13">
        <v>0</v>
      </c>
      <c r="M13">
        <v>0</v>
      </c>
    </row>
    <row r="14" spans="1:13" x14ac:dyDescent="0.2">
      <c r="A14">
        <v>500001</v>
      </c>
      <c r="B14">
        <v>33</v>
      </c>
      <c r="C14">
        <v>0</v>
      </c>
      <c r="D14">
        <v>0</v>
      </c>
      <c r="E14">
        <v>37</v>
      </c>
      <c r="F14">
        <v>0</v>
      </c>
      <c r="G14">
        <v>0</v>
      </c>
      <c r="H14">
        <v>0</v>
      </c>
      <c r="I14">
        <v>37</v>
      </c>
      <c r="J14">
        <v>0</v>
      </c>
      <c r="K14">
        <v>0</v>
      </c>
      <c r="L14">
        <v>0</v>
      </c>
      <c r="M14">
        <v>0</v>
      </c>
    </row>
    <row r="15" spans="1:13" x14ac:dyDescent="0.2">
      <c r="A15">
        <v>500001</v>
      </c>
      <c r="B15">
        <v>34</v>
      </c>
      <c r="C15">
        <v>0</v>
      </c>
      <c r="D15">
        <v>0</v>
      </c>
      <c r="E15">
        <v>36</v>
      </c>
      <c r="F15">
        <v>0</v>
      </c>
      <c r="G15">
        <v>0</v>
      </c>
      <c r="H15">
        <v>0</v>
      </c>
      <c r="I15">
        <v>36</v>
      </c>
      <c r="J15">
        <v>0</v>
      </c>
      <c r="K15">
        <v>0</v>
      </c>
      <c r="L15">
        <v>0</v>
      </c>
      <c r="M15">
        <v>0</v>
      </c>
    </row>
    <row r="16" spans="1:13" x14ac:dyDescent="0.2">
      <c r="A16">
        <v>500001</v>
      </c>
      <c r="B16">
        <v>36</v>
      </c>
      <c r="C16">
        <v>0</v>
      </c>
      <c r="D16">
        <v>0</v>
      </c>
      <c r="E16">
        <v>184</v>
      </c>
      <c r="F16">
        <v>0</v>
      </c>
      <c r="G16">
        <v>0</v>
      </c>
      <c r="H16">
        <v>0</v>
      </c>
      <c r="I16">
        <v>184</v>
      </c>
      <c r="J16">
        <v>0</v>
      </c>
      <c r="K16">
        <v>0</v>
      </c>
      <c r="L16">
        <v>0</v>
      </c>
      <c r="M16">
        <v>0</v>
      </c>
    </row>
    <row r="17" spans="1:13" x14ac:dyDescent="0.2">
      <c r="A17">
        <v>15001</v>
      </c>
      <c r="B17">
        <v>15</v>
      </c>
      <c r="C17">
        <v>101</v>
      </c>
      <c r="D17">
        <v>41.65</v>
      </c>
      <c r="E17">
        <v>214</v>
      </c>
      <c r="F17">
        <v>164</v>
      </c>
      <c r="G17">
        <v>8</v>
      </c>
      <c r="H17">
        <v>2</v>
      </c>
      <c r="I17">
        <v>42</v>
      </c>
      <c r="J17">
        <v>18.244152</v>
      </c>
      <c r="K17">
        <v>0.12933</v>
      </c>
      <c r="L17">
        <v>168</v>
      </c>
      <c r="M17">
        <v>69</v>
      </c>
    </row>
    <row r="18" spans="1:13" x14ac:dyDescent="0.2">
      <c r="A18">
        <v>15001</v>
      </c>
      <c r="B18">
        <v>35</v>
      </c>
      <c r="C18">
        <v>101</v>
      </c>
      <c r="D18">
        <v>41.65</v>
      </c>
      <c r="E18">
        <v>51</v>
      </c>
      <c r="F18">
        <v>38</v>
      </c>
      <c r="G18">
        <v>2</v>
      </c>
      <c r="H18">
        <v>0</v>
      </c>
      <c r="I18">
        <v>11</v>
      </c>
      <c r="J18">
        <v>4.2326899999999998</v>
      </c>
      <c r="K18">
        <v>2.9874999999999999E-2</v>
      </c>
      <c r="L18">
        <v>38</v>
      </c>
      <c r="M18">
        <v>16</v>
      </c>
    </row>
    <row r="19" spans="1:13" x14ac:dyDescent="0.2">
      <c r="A19">
        <v>69001</v>
      </c>
      <c r="B19">
        <v>1</v>
      </c>
      <c r="C19">
        <v>93</v>
      </c>
      <c r="D19">
        <v>44</v>
      </c>
      <c r="E19">
        <v>12</v>
      </c>
      <c r="F19">
        <v>4</v>
      </c>
      <c r="G19">
        <v>0</v>
      </c>
      <c r="H19">
        <v>0</v>
      </c>
      <c r="I19">
        <v>8</v>
      </c>
      <c r="J19">
        <v>0.51500000000000001</v>
      </c>
      <c r="K19">
        <v>0</v>
      </c>
      <c r="L19">
        <v>4</v>
      </c>
      <c r="M19">
        <v>2</v>
      </c>
    </row>
    <row r="20" spans="1:13" x14ac:dyDescent="0.2">
      <c r="A20">
        <v>61001</v>
      </c>
      <c r="B20">
        <v>2</v>
      </c>
      <c r="C20">
        <v>90</v>
      </c>
      <c r="D20">
        <v>44</v>
      </c>
      <c r="E20">
        <v>181</v>
      </c>
      <c r="F20">
        <v>171</v>
      </c>
      <c r="G20">
        <v>9</v>
      </c>
      <c r="H20">
        <v>5</v>
      </c>
      <c r="I20">
        <v>1</v>
      </c>
      <c r="J20">
        <v>20.1648</v>
      </c>
      <c r="K20">
        <v>0.47520000000000001</v>
      </c>
      <c r="L20">
        <v>158</v>
      </c>
      <c r="M20">
        <v>77</v>
      </c>
    </row>
    <row r="21" spans="1:13" x14ac:dyDescent="0.2">
      <c r="A21">
        <v>61001</v>
      </c>
      <c r="B21">
        <v>12</v>
      </c>
      <c r="C21">
        <v>90</v>
      </c>
      <c r="D21">
        <v>44</v>
      </c>
      <c r="E21">
        <v>307</v>
      </c>
      <c r="F21">
        <v>290</v>
      </c>
      <c r="G21">
        <v>16</v>
      </c>
      <c r="H21">
        <v>10</v>
      </c>
      <c r="I21">
        <v>1</v>
      </c>
      <c r="J21">
        <v>34.325139999999998</v>
      </c>
      <c r="K21">
        <v>0.90051999999999999</v>
      </c>
      <c r="L21">
        <v>270</v>
      </c>
      <c r="M21">
        <v>132</v>
      </c>
    </row>
    <row r="22" spans="1:13" x14ac:dyDescent="0.2">
      <c r="A22">
        <v>65005</v>
      </c>
      <c r="B22">
        <v>17</v>
      </c>
      <c r="C22">
        <v>88</v>
      </c>
      <c r="D22">
        <v>44</v>
      </c>
      <c r="E22">
        <v>43</v>
      </c>
      <c r="F22">
        <v>40</v>
      </c>
      <c r="G22">
        <v>3</v>
      </c>
      <c r="H22">
        <v>1</v>
      </c>
      <c r="I22">
        <v>0</v>
      </c>
      <c r="J22">
        <v>4.6398000000000001</v>
      </c>
      <c r="K22">
        <v>8.5500000000000007E-2</v>
      </c>
      <c r="L22">
        <v>36</v>
      </c>
      <c r="M22">
        <v>18</v>
      </c>
    </row>
    <row r="23" spans="1:13" x14ac:dyDescent="0.2">
      <c r="A23">
        <v>69001</v>
      </c>
      <c r="B23">
        <v>26</v>
      </c>
      <c r="C23">
        <v>93</v>
      </c>
      <c r="D23">
        <v>44</v>
      </c>
      <c r="E23">
        <v>316</v>
      </c>
      <c r="F23">
        <v>107</v>
      </c>
      <c r="G23">
        <v>209</v>
      </c>
      <c r="H23">
        <v>0</v>
      </c>
      <c r="I23">
        <v>0</v>
      </c>
      <c r="J23">
        <v>12.5928</v>
      </c>
      <c r="K23">
        <v>0</v>
      </c>
      <c r="L23">
        <v>100</v>
      </c>
      <c r="M23">
        <v>47</v>
      </c>
    </row>
    <row r="24" spans="1:13" x14ac:dyDescent="0.2">
      <c r="A24">
        <v>61001</v>
      </c>
      <c r="B24">
        <v>32</v>
      </c>
      <c r="C24">
        <v>90</v>
      </c>
      <c r="D24">
        <v>44</v>
      </c>
      <c r="E24">
        <v>89</v>
      </c>
      <c r="F24">
        <v>85</v>
      </c>
      <c r="G24">
        <v>4</v>
      </c>
      <c r="H24">
        <v>3</v>
      </c>
      <c r="I24">
        <v>0</v>
      </c>
      <c r="J24">
        <v>10.04039</v>
      </c>
      <c r="K24">
        <v>0.23660999999999999</v>
      </c>
      <c r="L24">
        <v>79</v>
      </c>
      <c r="M24">
        <v>39</v>
      </c>
    </row>
    <row r="25" spans="1:13" x14ac:dyDescent="0.2">
      <c r="A25">
        <v>62001</v>
      </c>
      <c r="B25">
        <v>20</v>
      </c>
      <c r="C25">
        <v>91</v>
      </c>
      <c r="D25">
        <v>46</v>
      </c>
      <c r="E25">
        <v>114</v>
      </c>
      <c r="F25">
        <v>69</v>
      </c>
      <c r="G25">
        <v>2</v>
      </c>
      <c r="H25">
        <v>1</v>
      </c>
      <c r="I25">
        <v>43</v>
      </c>
      <c r="J25">
        <v>7.9752960000000002</v>
      </c>
      <c r="K25">
        <v>4.2394000000000001E-2</v>
      </c>
      <c r="L25">
        <v>64</v>
      </c>
      <c r="M25">
        <v>32</v>
      </c>
    </row>
    <row r="26" spans="1:13" x14ac:dyDescent="0.2">
      <c r="A26">
        <v>15001</v>
      </c>
      <c r="B26">
        <v>5</v>
      </c>
      <c r="C26">
        <v>101</v>
      </c>
      <c r="D26">
        <v>49</v>
      </c>
      <c r="E26">
        <v>163</v>
      </c>
      <c r="F26">
        <v>119</v>
      </c>
      <c r="G26">
        <v>4</v>
      </c>
      <c r="H26">
        <v>1</v>
      </c>
      <c r="I26">
        <v>40</v>
      </c>
      <c r="J26">
        <v>13.3056</v>
      </c>
      <c r="K26">
        <v>6.336E-2</v>
      </c>
      <c r="L26">
        <v>121</v>
      </c>
      <c r="M26">
        <v>59</v>
      </c>
    </row>
    <row r="27" spans="1:13" x14ac:dyDescent="0.2">
      <c r="A27">
        <v>57001</v>
      </c>
      <c r="B27">
        <v>7</v>
      </c>
      <c r="C27">
        <v>90</v>
      </c>
      <c r="D27">
        <v>49</v>
      </c>
      <c r="E27">
        <v>45</v>
      </c>
      <c r="F27">
        <v>43</v>
      </c>
      <c r="G27">
        <v>2</v>
      </c>
      <c r="H27">
        <v>1</v>
      </c>
      <c r="I27">
        <v>0</v>
      </c>
      <c r="J27">
        <v>5.4672000000000001</v>
      </c>
      <c r="K27">
        <v>6.2399999999999997E-2</v>
      </c>
      <c r="L27">
        <v>40</v>
      </c>
      <c r="M27">
        <v>22</v>
      </c>
    </row>
    <row r="28" spans="1:13" x14ac:dyDescent="0.2">
      <c r="A28">
        <v>46001</v>
      </c>
      <c r="B28">
        <v>27</v>
      </c>
      <c r="C28">
        <v>104</v>
      </c>
      <c r="D28">
        <v>50.15</v>
      </c>
      <c r="E28">
        <v>61</v>
      </c>
      <c r="F28">
        <v>22</v>
      </c>
      <c r="G28">
        <v>39</v>
      </c>
      <c r="H28">
        <v>0</v>
      </c>
      <c r="I28">
        <v>0</v>
      </c>
      <c r="J28">
        <v>2.3193779999999999</v>
      </c>
      <c r="K28">
        <v>0</v>
      </c>
      <c r="L28">
        <v>23</v>
      </c>
      <c r="M28">
        <v>11</v>
      </c>
    </row>
    <row r="29" spans="1:13" x14ac:dyDescent="0.2">
      <c r="A29">
        <v>108001</v>
      </c>
      <c r="B29">
        <v>28</v>
      </c>
      <c r="C29">
        <v>98</v>
      </c>
      <c r="D29">
        <v>51</v>
      </c>
      <c r="E29">
        <v>58</v>
      </c>
      <c r="F29">
        <v>46</v>
      </c>
      <c r="G29">
        <v>0</v>
      </c>
      <c r="H29">
        <v>0</v>
      </c>
      <c r="I29">
        <v>12</v>
      </c>
      <c r="J29">
        <v>4.8707099999999999</v>
      </c>
      <c r="K29">
        <v>2.99E-3</v>
      </c>
      <c r="L29">
        <v>45</v>
      </c>
      <c r="M29">
        <v>23</v>
      </c>
    </row>
    <row r="30" spans="1:13" x14ac:dyDescent="0.2">
      <c r="A30">
        <v>108001</v>
      </c>
      <c r="B30">
        <v>30</v>
      </c>
      <c r="C30">
        <v>98</v>
      </c>
      <c r="D30">
        <v>51</v>
      </c>
      <c r="E30">
        <v>14</v>
      </c>
      <c r="F30">
        <v>11</v>
      </c>
      <c r="G30">
        <v>1</v>
      </c>
      <c r="H30">
        <v>0</v>
      </c>
      <c r="I30">
        <v>2</v>
      </c>
      <c r="J30">
        <v>1.1804520000000001</v>
      </c>
      <c r="K30">
        <v>5.9800000000000001E-3</v>
      </c>
      <c r="L30">
        <v>11</v>
      </c>
      <c r="M30">
        <v>6</v>
      </c>
    </row>
    <row r="31" spans="1:13" x14ac:dyDescent="0.2">
      <c r="A31">
        <v>65007</v>
      </c>
      <c r="B31">
        <v>22</v>
      </c>
      <c r="C31">
        <v>104</v>
      </c>
      <c r="D31">
        <v>52</v>
      </c>
      <c r="E31">
        <v>127</v>
      </c>
      <c r="F31">
        <v>114</v>
      </c>
      <c r="G31">
        <v>8</v>
      </c>
      <c r="H31">
        <v>1</v>
      </c>
      <c r="I31">
        <v>5</v>
      </c>
      <c r="J31">
        <v>11.810040000000001</v>
      </c>
      <c r="K31">
        <v>5.7959999999999998E-2</v>
      </c>
      <c r="L31">
        <v>120</v>
      </c>
      <c r="M31">
        <v>60</v>
      </c>
    </row>
    <row r="32" spans="1:13" x14ac:dyDescent="0.2">
      <c r="A32">
        <v>11001</v>
      </c>
      <c r="B32">
        <v>8</v>
      </c>
      <c r="C32">
        <v>113</v>
      </c>
      <c r="D32">
        <v>55.25</v>
      </c>
      <c r="E32">
        <v>270</v>
      </c>
      <c r="F32">
        <v>207</v>
      </c>
      <c r="G32">
        <v>30</v>
      </c>
      <c r="H32">
        <v>7</v>
      </c>
      <c r="I32">
        <v>33</v>
      </c>
      <c r="J32">
        <v>24.967181</v>
      </c>
      <c r="K32">
        <v>0.59040000000000004</v>
      </c>
      <c r="L32">
        <v>242</v>
      </c>
      <c r="M32">
        <v>118</v>
      </c>
    </row>
    <row r="33" spans="1:13" x14ac:dyDescent="0.2">
      <c r="A33">
        <v>11001</v>
      </c>
      <c r="B33">
        <v>10</v>
      </c>
      <c r="C33">
        <v>113</v>
      </c>
      <c r="D33">
        <v>55.25</v>
      </c>
      <c r="E33">
        <v>22</v>
      </c>
      <c r="F33">
        <v>20</v>
      </c>
      <c r="G33">
        <v>2</v>
      </c>
      <c r="H33">
        <v>0</v>
      </c>
      <c r="I33">
        <v>0</v>
      </c>
      <c r="J33">
        <v>2.2892540000000001</v>
      </c>
      <c r="K33">
        <v>2.9159999999999998E-2</v>
      </c>
      <c r="L33">
        <v>23</v>
      </c>
      <c r="M33">
        <v>11</v>
      </c>
    </row>
    <row r="34" spans="1:13" x14ac:dyDescent="0.2">
      <c r="A34">
        <v>11001</v>
      </c>
      <c r="B34">
        <v>11</v>
      </c>
      <c r="C34">
        <v>113</v>
      </c>
      <c r="D34">
        <v>55.25</v>
      </c>
      <c r="E34">
        <v>160</v>
      </c>
      <c r="F34">
        <v>24</v>
      </c>
      <c r="G34">
        <v>2</v>
      </c>
      <c r="H34">
        <v>0</v>
      </c>
      <c r="I34">
        <v>134</v>
      </c>
      <c r="J34">
        <v>2.8615680000000001</v>
      </c>
      <c r="K34">
        <v>3.6450000000000003E-2</v>
      </c>
      <c r="L34">
        <v>27</v>
      </c>
      <c r="M34">
        <v>13</v>
      </c>
    </row>
    <row r="35" spans="1:13" x14ac:dyDescent="0.2">
      <c r="A35">
        <v>16001</v>
      </c>
      <c r="B35">
        <v>24</v>
      </c>
      <c r="C35">
        <v>122</v>
      </c>
      <c r="D35">
        <v>61.2</v>
      </c>
      <c r="E35">
        <v>103</v>
      </c>
      <c r="F35">
        <v>41</v>
      </c>
      <c r="G35">
        <v>12</v>
      </c>
      <c r="H35">
        <v>0</v>
      </c>
      <c r="I35">
        <v>50</v>
      </c>
      <c r="J35">
        <v>4.5643500000000001</v>
      </c>
      <c r="K35">
        <v>3.3750000000000002E-2</v>
      </c>
      <c r="L35">
        <v>50</v>
      </c>
      <c r="M35">
        <v>25</v>
      </c>
    </row>
    <row r="36" spans="1:13" x14ac:dyDescent="0.2">
      <c r="A36">
        <v>20001</v>
      </c>
      <c r="B36">
        <v>18</v>
      </c>
      <c r="C36">
        <v>122</v>
      </c>
      <c r="D36">
        <v>70.55</v>
      </c>
      <c r="E36">
        <v>303</v>
      </c>
      <c r="F36">
        <v>231</v>
      </c>
      <c r="G36">
        <v>22</v>
      </c>
      <c r="H36">
        <v>3</v>
      </c>
      <c r="I36">
        <v>50</v>
      </c>
      <c r="J36">
        <v>26.407734999999999</v>
      </c>
      <c r="K36">
        <v>0.2223</v>
      </c>
      <c r="L36">
        <v>285</v>
      </c>
      <c r="M36">
        <v>165</v>
      </c>
    </row>
  </sheetData>
  <sortState ref="A1:M36">
    <sortCondition ref="D1"/>
    <sortCondition ref="B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52"/>
  <sheetViews>
    <sheetView tabSelected="1" view="pageBreakPreview" topLeftCell="A34" zoomScaleNormal="100" zoomScaleSheetLayoutView="100" workbookViewId="0">
      <selection activeCell="A8" sqref="A8:K8"/>
    </sheetView>
  </sheetViews>
  <sheetFormatPr defaultRowHeight="12.75" x14ac:dyDescent="0.2"/>
  <cols>
    <col min="1" max="1" width="5.7109375" customWidth="1"/>
    <col min="2" max="2" width="12.7109375" customWidth="1"/>
    <col min="3" max="3" width="40.7109375" customWidth="1"/>
    <col min="4" max="4" width="9.7109375" customWidth="1"/>
    <col min="5" max="11" width="12.7109375" customWidth="1"/>
    <col min="12" max="12" width="24.5703125" customWidth="1"/>
    <col min="20" max="29" width="0" hidden="1" customWidth="1"/>
    <col min="30" max="30" width="93.7109375" hidden="1" customWidth="1"/>
    <col min="31" max="31" width="0" hidden="1" customWidth="1"/>
    <col min="32" max="32" width="136.7109375" hidden="1" customWidth="1"/>
    <col min="33" max="33" width="0" hidden="1" customWidth="1"/>
  </cols>
  <sheetData>
    <row r="1" spans="1:11" hidden="1" x14ac:dyDescent="0.2">
      <c r="A1" s="101" t="str">
        <f>CONCATENATE( "Номер договора: ",Source!F9)</f>
        <v xml:space="preserve">Номер договора: 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1" hidden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x14ac:dyDescent="0.2">
      <c r="A3" s="102" t="s">
        <v>807</v>
      </c>
      <c r="B3" s="87"/>
      <c r="C3" s="103"/>
      <c r="D3" s="103"/>
      <c r="E3" s="103"/>
      <c r="F3" s="103"/>
      <c r="G3" s="103"/>
      <c r="H3" s="103"/>
      <c r="I3" s="103"/>
      <c r="J3" s="103"/>
      <c r="K3" s="103"/>
    </row>
    <row r="4" spans="1:11" x14ac:dyDescent="0.2">
      <c r="A4" s="9"/>
      <c r="B4" s="10"/>
      <c r="C4" s="11"/>
      <c r="D4" s="11"/>
      <c r="E4" s="11"/>
      <c r="F4" s="11"/>
      <c r="G4" s="11"/>
      <c r="H4" s="11"/>
      <c r="I4" s="11"/>
      <c r="J4" s="11"/>
      <c r="K4" s="12"/>
    </row>
    <row r="5" spans="1:11" x14ac:dyDescent="0.2">
      <c r="A5" s="102" t="s">
        <v>808</v>
      </c>
      <c r="B5" s="87"/>
      <c r="C5" s="103"/>
      <c r="D5" s="103"/>
      <c r="E5" s="103"/>
      <c r="F5" s="103"/>
      <c r="G5" s="103"/>
      <c r="H5" s="103"/>
      <c r="I5" s="103"/>
      <c r="J5" s="103"/>
      <c r="K5" s="103"/>
    </row>
    <row r="6" spans="1:11" x14ac:dyDescent="0.2">
      <c r="A6" s="104" t="str">
        <f>Source!F20</f>
        <v/>
      </c>
      <c r="B6" s="104"/>
      <c r="C6" s="104"/>
      <c r="D6" s="104"/>
      <c r="E6" s="104"/>
      <c r="F6" s="104"/>
      <c r="G6" s="104"/>
      <c r="H6" s="104"/>
      <c r="I6" s="104"/>
      <c r="J6" s="104"/>
      <c r="K6" s="104"/>
    </row>
    <row r="7" spans="1:11" x14ac:dyDescent="0.2">
      <c r="A7" s="95" t="s">
        <v>954</v>
      </c>
      <c r="B7" s="96"/>
      <c r="C7" s="96"/>
      <c r="D7" s="96"/>
      <c r="E7" s="96"/>
      <c r="F7" s="96"/>
      <c r="G7" s="96"/>
      <c r="H7" s="96"/>
      <c r="I7" s="96"/>
      <c r="J7" s="96"/>
      <c r="K7" s="96"/>
    </row>
    <row r="8" spans="1:11" x14ac:dyDescent="0.2">
      <c r="A8" s="97" t="str">
        <f>Source!G12</f>
        <v>Капитальный ремонт помещений здания управления</v>
      </c>
      <c r="B8" s="97"/>
      <c r="C8" s="97"/>
      <c r="D8" s="97"/>
      <c r="E8" s="97"/>
      <c r="F8" s="97"/>
      <c r="G8" s="97"/>
      <c r="H8" s="97"/>
      <c r="I8" s="97"/>
      <c r="J8" s="97"/>
      <c r="K8" s="97"/>
    </row>
    <row r="9" spans="1:11" x14ac:dyDescent="0.2">
      <c r="A9" s="13"/>
      <c r="B9" s="14"/>
      <c r="C9" s="14"/>
      <c r="D9" s="14"/>
      <c r="E9" s="14"/>
      <c r="F9" s="14"/>
      <c r="G9" s="14"/>
      <c r="H9" s="14"/>
      <c r="I9" s="14"/>
      <c r="J9" s="14"/>
      <c r="K9" s="12"/>
    </row>
    <row r="10" spans="1:11" x14ac:dyDescent="0.2">
      <c r="A10" s="98" t="s">
        <v>809</v>
      </c>
      <c r="B10" s="96"/>
      <c r="C10" s="99" t="s">
        <v>12</v>
      </c>
      <c r="D10" s="100"/>
      <c r="E10" s="100"/>
      <c r="F10" s="100"/>
      <c r="G10" s="100"/>
      <c r="H10" s="100"/>
      <c r="I10" s="100"/>
      <c r="J10" s="100"/>
      <c r="K10" s="100"/>
    </row>
    <row r="11" spans="1:11" x14ac:dyDescent="0.2">
      <c r="A11" s="15"/>
      <c r="B11" s="16"/>
      <c r="C11" s="17"/>
      <c r="D11" s="15"/>
      <c r="E11" s="15"/>
      <c r="F11" s="15"/>
      <c r="G11" s="15"/>
      <c r="H11" s="15"/>
      <c r="I11" s="15"/>
      <c r="J11" s="15"/>
      <c r="K11" s="15"/>
    </row>
    <row r="12" spans="1:11" x14ac:dyDescent="0.2">
      <c r="A12" s="87" t="s">
        <v>810</v>
      </c>
      <c r="B12" s="87"/>
      <c r="C12" s="87"/>
      <c r="D12" s="87"/>
      <c r="E12" s="87"/>
      <c r="F12" s="87"/>
      <c r="G12" s="87"/>
      <c r="H12" s="87"/>
      <c r="I12" s="88">
        <f>(Source!F378/1000)</f>
        <v>19.173999999999999</v>
      </c>
      <c r="J12" s="89"/>
      <c r="K12" s="15" t="s">
        <v>811</v>
      </c>
    </row>
    <row r="13" spans="1:11" x14ac:dyDescent="0.2">
      <c r="A13" s="108" t="s">
        <v>812</v>
      </c>
      <c r="B13" s="108"/>
      <c r="C13" s="108"/>
      <c r="D13" s="108"/>
      <c r="E13" s="108"/>
      <c r="F13" s="108"/>
      <c r="G13" s="108"/>
      <c r="H13" s="108"/>
      <c r="I13" s="18"/>
      <c r="J13" s="18"/>
      <c r="K13" s="15"/>
    </row>
    <row r="14" spans="1:11" x14ac:dyDescent="0.2">
      <c r="A14" s="87" t="s">
        <v>813</v>
      </c>
      <c r="B14" s="87"/>
      <c r="C14" s="87"/>
      <c r="D14" s="87"/>
      <c r="E14" s="87"/>
      <c r="F14" s="87"/>
      <c r="G14" s="87"/>
      <c r="H14" s="87"/>
      <c r="I14" s="88">
        <f>(Source!F374)/1000</f>
        <v>18.957999999999998</v>
      </c>
      <c r="J14" s="89"/>
      <c r="K14" s="15" t="s">
        <v>811</v>
      </c>
    </row>
    <row r="15" spans="1:11" x14ac:dyDescent="0.2">
      <c r="A15" s="87" t="s">
        <v>814</v>
      </c>
      <c r="B15" s="87"/>
      <c r="C15" s="87"/>
      <c r="D15" s="87"/>
      <c r="E15" s="87"/>
      <c r="F15" s="87"/>
      <c r="G15" s="87"/>
      <c r="H15" s="87"/>
      <c r="I15" s="88">
        <f>(Source!F375)/1000</f>
        <v>0.216</v>
      </c>
      <c r="J15" s="89"/>
      <c r="K15" s="15" t="s">
        <v>811</v>
      </c>
    </row>
    <row r="16" spans="1:11" hidden="1" x14ac:dyDescent="0.2">
      <c r="A16" s="87" t="s">
        <v>815</v>
      </c>
      <c r="B16" s="87"/>
      <c r="C16" s="87"/>
      <c r="D16" s="87"/>
      <c r="E16" s="87"/>
      <c r="F16" s="87"/>
      <c r="G16" s="87"/>
      <c r="H16" s="87"/>
      <c r="I16" s="88">
        <f>(Source!F376)/1000</f>
        <v>0</v>
      </c>
      <c r="J16" s="89"/>
      <c r="K16" s="15" t="s">
        <v>811</v>
      </c>
    </row>
    <row r="17" spans="1:28" hidden="1" x14ac:dyDescent="0.2">
      <c r="A17" s="87" t="s">
        <v>816</v>
      </c>
      <c r="B17" s="87"/>
      <c r="C17" s="87"/>
      <c r="D17" s="87"/>
      <c r="E17" s="87"/>
      <c r="F17" s="87"/>
      <c r="G17" s="87"/>
      <c r="H17" s="87"/>
      <c r="I17" s="88">
        <f>(Source!F377+Source!F220)/1000</f>
        <v>0</v>
      </c>
      <c r="J17" s="89"/>
      <c r="K17" s="15" t="s">
        <v>811</v>
      </c>
    </row>
    <row r="18" spans="1:28" hidden="1" x14ac:dyDescent="0.2">
      <c r="A18" s="105" t="s">
        <v>817</v>
      </c>
      <c r="B18" s="105"/>
      <c r="C18" s="105"/>
      <c r="D18" s="105"/>
      <c r="E18" s="105"/>
      <c r="F18" s="105"/>
      <c r="G18" s="105"/>
      <c r="H18" s="105"/>
      <c r="I18" s="106">
        <f>(Source!F221)/1000</f>
        <v>0</v>
      </c>
      <c r="J18" s="107"/>
      <c r="K18" s="9" t="s">
        <v>811</v>
      </c>
    </row>
    <row r="19" spans="1:28" x14ac:dyDescent="0.2">
      <c r="A19" s="87" t="s">
        <v>818</v>
      </c>
      <c r="B19" s="87"/>
      <c r="C19" s="87"/>
      <c r="D19" s="87"/>
      <c r="E19" s="87"/>
      <c r="F19" s="87"/>
      <c r="G19" s="87"/>
      <c r="H19" s="87"/>
      <c r="I19" s="88">
        <f>(Source!F373)/1000</f>
        <v>0.216</v>
      </c>
      <c r="J19" s="89"/>
      <c r="K19" s="15" t="s">
        <v>819</v>
      </c>
    </row>
    <row r="20" spans="1:28" x14ac:dyDescent="0.2">
      <c r="A20" s="87" t="s">
        <v>820</v>
      </c>
      <c r="B20" s="87"/>
      <c r="C20" s="87"/>
      <c r="D20" s="87"/>
      <c r="E20" s="87"/>
      <c r="F20" s="87"/>
      <c r="G20" s="87"/>
      <c r="H20" s="87"/>
      <c r="I20" s="88">
        <f>(Source!F367+ Source!F214)/1000</f>
        <v>1.881</v>
      </c>
      <c r="J20" s="89"/>
      <c r="K20" s="15" t="s">
        <v>811</v>
      </c>
    </row>
    <row r="21" spans="1:28" x14ac:dyDescent="0.2">
      <c r="A21" s="13"/>
      <c r="B21" s="13"/>
      <c r="C21" s="13"/>
      <c r="D21" s="13"/>
      <c r="E21" s="13"/>
      <c r="F21" s="13"/>
      <c r="G21" s="13"/>
      <c r="H21" s="13"/>
      <c r="I21" s="18"/>
      <c r="J21" s="18"/>
      <c r="K21" s="15"/>
    </row>
    <row r="22" spans="1:28" hidden="1" x14ac:dyDescent="0.2">
      <c r="A22" s="92" t="s">
        <v>821</v>
      </c>
      <c r="B22" s="92"/>
      <c r="C22" s="92"/>
      <c r="D22" s="92"/>
      <c r="E22" s="92"/>
      <c r="F22" s="92"/>
      <c r="G22" s="92"/>
      <c r="H22" s="92"/>
      <c r="I22" s="15"/>
      <c r="J22" s="18"/>
      <c r="K22" s="15"/>
    </row>
    <row r="23" spans="1:28" hidden="1" x14ac:dyDescent="0.2">
      <c r="A23" s="92" t="s">
        <v>822</v>
      </c>
      <c r="B23" s="92"/>
      <c r="C23" s="92"/>
      <c r="D23" s="92"/>
      <c r="E23" s="92"/>
      <c r="F23" s="92"/>
      <c r="G23" s="92"/>
      <c r="H23" s="92"/>
      <c r="I23" s="15"/>
      <c r="J23" s="18"/>
      <c r="K23" s="15"/>
    </row>
    <row r="24" spans="1:28" hidden="1" x14ac:dyDescent="0.2">
      <c r="A24" s="19"/>
      <c r="B24" s="20"/>
      <c r="C24" s="21"/>
      <c r="D24" s="22"/>
      <c r="E24" s="22"/>
      <c r="F24" s="22"/>
      <c r="G24" s="23"/>
      <c r="H24" s="23"/>
      <c r="I24" s="23"/>
      <c r="J24" s="24"/>
      <c r="K24" s="25"/>
    </row>
    <row r="25" spans="1:28" x14ac:dyDescent="0.2">
      <c r="A25" s="93" t="str">
        <f>CONCATENATE("Составлена в базисных ценах по состоянию на 01.01.2000г. по НБ: ", Source!U12)</f>
        <v>Составлена в базисных ценах по состоянию на 01.01.2000г. по НБ: ФЕР-2001 (редакция 2020г. с изм.1-9)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</row>
    <row r="26" spans="1:28" ht="30" customHeight="1" x14ac:dyDescent="0.2">
      <c r="A26" s="90" t="s">
        <v>823</v>
      </c>
      <c r="B26" s="90" t="s">
        <v>824</v>
      </c>
      <c r="C26" s="90" t="s">
        <v>825</v>
      </c>
      <c r="D26" s="90" t="s">
        <v>826</v>
      </c>
      <c r="E26" s="90" t="s">
        <v>827</v>
      </c>
      <c r="F26" s="90"/>
      <c r="G26" s="90" t="s">
        <v>828</v>
      </c>
      <c r="H26" s="90"/>
      <c r="I26" s="90"/>
      <c r="J26" s="90" t="s">
        <v>829</v>
      </c>
      <c r="K26" s="90"/>
      <c r="L26" s="90" t="s">
        <v>951</v>
      </c>
    </row>
    <row r="27" spans="1:28" ht="25.5" x14ac:dyDescent="0.2">
      <c r="A27" s="94"/>
      <c r="B27" s="94"/>
      <c r="C27" s="90"/>
      <c r="D27" s="94"/>
      <c r="E27" s="26" t="s">
        <v>830</v>
      </c>
      <c r="F27" s="26" t="s">
        <v>831</v>
      </c>
      <c r="G27" s="90" t="s">
        <v>830</v>
      </c>
      <c r="H27" s="90" t="s">
        <v>832</v>
      </c>
      <c r="I27" s="26" t="s">
        <v>831</v>
      </c>
      <c r="J27" s="90" t="s">
        <v>833</v>
      </c>
      <c r="K27" s="91"/>
      <c r="L27" s="90"/>
    </row>
    <row r="28" spans="1:28" ht="38.25" x14ac:dyDescent="0.2">
      <c r="A28" s="94"/>
      <c r="B28" s="94"/>
      <c r="C28" s="90"/>
      <c r="D28" s="94"/>
      <c r="E28" s="26" t="s">
        <v>832</v>
      </c>
      <c r="F28" s="26" t="s">
        <v>834</v>
      </c>
      <c r="G28" s="90"/>
      <c r="H28" s="90"/>
      <c r="I28" s="26" t="s">
        <v>834</v>
      </c>
      <c r="J28" s="26" t="s">
        <v>835</v>
      </c>
      <c r="K28" s="26" t="s">
        <v>830</v>
      </c>
      <c r="L28" s="90"/>
    </row>
    <row r="29" spans="1:28" x14ac:dyDescent="0.2">
      <c r="A29" s="26">
        <v>1</v>
      </c>
      <c r="B29" s="26">
        <v>2</v>
      </c>
      <c r="C29" s="27">
        <v>3</v>
      </c>
      <c r="D29" s="26">
        <v>4</v>
      </c>
      <c r="E29" s="26">
        <v>5</v>
      </c>
      <c r="F29" s="26">
        <v>6</v>
      </c>
      <c r="G29" s="26">
        <v>7</v>
      </c>
      <c r="H29" s="26">
        <v>8</v>
      </c>
      <c r="I29" s="26">
        <v>9</v>
      </c>
      <c r="J29" s="26">
        <v>10</v>
      </c>
      <c r="K29" s="26">
        <v>11</v>
      </c>
      <c r="L29" s="61">
        <v>12</v>
      </c>
    </row>
    <row r="30" spans="1:28" x14ac:dyDescent="0.2">
      <c r="A30" s="86" t="str">
        <f>CONCATENATE( "Раздел ",IF(Source!C12="1", Source!F24, Source!G24))</f>
        <v>Раздел Кладовая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62"/>
    </row>
    <row r="31" spans="1:28" x14ac:dyDescent="0.2">
      <c r="A31" s="80" t="str">
        <f>Source!E28</f>
        <v>1</v>
      </c>
      <c r="B31" s="32" t="s">
        <v>836</v>
      </c>
      <c r="C31" s="33" t="str">
        <f>CONCATENATE(Source!G28, ", ",Source!DW28)</f>
        <v>Затаривание строительного мусора в мешки, т</v>
      </c>
      <c r="D31" s="82">
        <f>ROUND(Source!I28,6)</f>
        <v>0.5</v>
      </c>
      <c r="E31" s="29">
        <f>ROUND(Source!AB28,2)</f>
        <v>23.81</v>
      </c>
      <c r="F31" s="29">
        <f>ROUND(Source!AD28,2)</f>
        <v>0</v>
      </c>
      <c r="G31" s="84">
        <f>ROUND(Source!O28,0)</f>
        <v>12</v>
      </c>
      <c r="H31" s="84">
        <f>ROUND(Source!S28,0)</f>
        <v>4</v>
      </c>
      <c r="I31" s="30">
        <f>ROUND(Source!Q28,0)</f>
        <v>0</v>
      </c>
      <c r="J31" s="28">
        <f>ROUND(Source!AH28,6)</f>
        <v>1.03</v>
      </c>
      <c r="K31" s="31">
        <f>ROUND(Source!U28,6)</f>
        <v>0.51500000000000001</v>
      </c>
      <c r="L31" s="62"/>
      <c r="T31">
        <f>Source!O28</f>
        <v>12</v>
      </c>
      <c r="U31">
        <f>Source!P28</f>
        <v>8</v>
      </c>
      <c r="V31">
        <f>Source!S28</f>
        <v>4</v>
      </c>
      <c r="W31">
        <f>Source!Q28</f>
        <v>0</v>
      </c>
      <c r="X31">
        <f>Source!R28</f>
        <v>0</v>
      </c>
      <c r="Y31">
        <f>Source!U28</f>
        <v>0.51500000000000001</v>
      </c>
      <c r="Z31">
        <f>Source!V28</f>
        <v>0</v>
      </c>
      <c r="AA31">
        <f>Source!X28</f>
        <v>4</v>
      </c>
      <c r="AB31">
        <f>Source!Y28</f>
        <v>2</v>
      </c>
    </row>
    <row r="32" spans="1:28" x14ac:dyDescent="0.2">
      <c r="A32" s="81"/>
      <c r="B32" s="34"/>
      <c r="C32" s="35"/>
      <c r="D32" s="83"/>
      <c r="E32" s="29">
        <f>ROUND(Source!AF28,2)</f>
        <v>7.41</v>
      </c>
      <c r="F32" s="29">
        <f>ROUND(Source!AE28,2)</f>
        <v>0</v>
      </c>
      <c r="G32" s="85"/>
      <c r="H32" s="85"/>
      <c r="I32" s="30">
        <f>ROUND(Source!R28,0)</f>
        <v>0</v>
      </c>
      <c r="J32" s="28">
        <f>ROUND(Source!AI28,6)</f>
        <v>0</v>
      </c>
      <c r="K32" s="31">
        <f>ROUND(Source!V28,6)</f>
        <v>0</v>
      </c>
      <c r="L32" s="62"/>
    </row>
    <row r="33" spans="1:28" x14ac:dyDescent="0.2">
      <c r="A33" s="54"/>
      <c r="B33" s="54"/>
      <c r="C33" s="78" t="s">
        <v>837</v>
      </c>
      <c r="D33" s="78"/>
      <c r="E33" s="78"/>
      <c r="F33" s="78"/>
      <c r="G33" s="78"/>
      <c r="H33" s="78"/>
      <c r="I33" s="78"/>
      <c r="J33" s="78"/>
      <c r="K33" s="78"/>
      <c r="L33" s="62"/>
    </row>
    <row r="34" spans="1:28" x14ac:dyDescent="0.2">
      <c r="A34" s="54"/>
      <c r="B34" s="54"/>
      <c r="C34" s="78" t="s">
        <v>838</v>
      </c>
      <c r="D34" s="78"/>
      <c r="E34" s="78"/>
      <c r="F34" s="78"/>
      <c r="G34" s="78"/>
      <c r="H34" s="78"/>
      <c r="I34" s="78"/>
      <c r="J34" s="78"/>
      <c r="K34" s="78"/>
      <c r="L34" s="62"/>
    </row>
    <row r="35" spans="1:28" x14ac:dyDescent="0.2">
      <c r="A35" s="73"/>
      <c r="B35" s="74"/>
      <c r="C35" s="74"/>
      <c r="D35" s="74"/>
      <c r="E35" s="74"/>
      <c r="F35" s="74"/>
      <c r="G35" s="74"/>
      <c r="H35" s="74"/>
      <c r="I35" s="74"/>
      <c r="J35" s="74"/>
      <c r="K35" s="75"/>
      <c r="L35" s="62"/>
    </row>
    <row r="36" spans="1:28" ht="60" x14ac:dyDescent="0.2">
      <c r="A36" s="80" t="str">
        <f>Source!E29</f>
        <v>2</v>
      </c>
      <c r="B36" s="32" t="s">
        <v>839</v>
      </c>
      <c r="C36" s="33" t="str">
        <f>CONCATENATE(Source!G29, ", ",Source!DW29)</f>
        <v>Сплошное выравнивание внутренних поверхностей (однослойное оштукатуривание) из сухих растворных смесей толщиной до 10 мм для последующей окраски или оклейки обоями: потолков, 100 м2</v>
      </c>
      <c r="D36" s="82">
        <f>ROUND(Source!I29,6)</f>
        <v>0.48</v>
      </c>
      <c r="E36" s="29">
        <f>ROUND(Source!AB29,2)</f>
        <v>374.69</v>
      </c>
      <c r="F36" s="29">
        <f>ROUND(Source!AD29,2)</f>
        <v>17.97</v>
      </c>
      <c r="G36" s="84">
        <f>ROUND(Source!O29,0)</f>
        <v>181</v>
      </c>
      <c r="H36" s="84">
        <f>ROUND(Source!S29,0)</f>
        <v>171</v>
      </c>
      <c r="I36" s="30">
        <f>ROUND(Source!Q29,0)</f>
        <v>9</v>
      </c>
      <c r="J36" s="28">
        <f>ROUND(Source!AH29,6)</f>
        <v>42.01</v>
      </c>
      <c r="K36" s="31">
        <f>ROUND(Source!U29,6)</f>
        <v>20.1648</v>
      </c>
      <c r="L36" s="62"/>
      <c r="T36">
        <f>Source!O29</f>
        <v>181</v>
      </c>
      <c r="U36">
        <f>Source!P29</f>
        <v>1</v>
      </c>
      <c r="V36">
        <f>Source!S29</f>
        <v>171</v>
      </c>
      <c r="W36">
        <f>Source!Q29</f>
        <v>9</v>
      </c>
      <c r="X36">
        <f>Source!R29</f>
        <v>5</v>
      </c>
      <c r="Y36">
        <f>Source!U29</f>
        <v>20.1648</v>
      </c>
      <c r="Z36">
        <f>Source!V29</f>
        <v>0.47519999999999996</v>
      </c>
      <c r="AA36">
        <f>Source!X29</f>
        <v>158</v>
      </c>
      <c r="AB36">
        <f>Source!Y29</f>
        <v>77</v>
      </c>
    </row>
    <row r="37" spans="1:28" x14ac:dyDescent="0.2">
      <c r="A37" s="81"/>
      <c r="B37" s="34"/>
      <c r="C37" s="35" t="s">
        <v>840</v>
      </c>
      <c r="D37" s="83"/>
      <c r="E37" s="29">
        <f>ROUND(Source!AF29,2)</f>
        <v>355.4</v>
      </c>
      <c r="F37" s="29">
        <f>ROUND(Source!AE29,2)</f>
        <v>10.72</v>
      </c>
      <c r="G37" s="85"/>
      <c r="H37" s="85"/>
      <c r="I37" s="30">
        <f>ROUND(Source!R29,0)</f>
        <v>5</v>
      </c>
      <c r="J37" s="28">
        <f>ROUND(Source!AI29,6)</f>
        <v>0.99</v>
      </c>
      <c r="K37" s="31">
        <f>ROUND(Source!V29,6)</f>
        <v>0.47520000000000001</v>
      </c>
      <c r="L37" s="62"/>
    </row>
    <row r="38" spans="1:28" x14ac:dyDescent="0.2">
      <c r="A38" s="54"/>
      <c r="B38" s="54"/>
      <c r="C38" s="78" t="s">
        <v>841</v>
      </c>
      <c r="D38" s="78"/>
      <c r="E38" s="78"/>
      <c r="F38" s="78"/>
      <c r="G38" s="78"/>
      <c r="H38" s="78"/>
      <c r="I38" s="78"/>
      <c r="J38" s="78"/>
      <c r="K38" s="78"/>
      <c r="L38" s="62"/>
    </row>
    <row r="39" spans="1:28" x14ac:dyDescent="0.2">
      <c r="A39" s="54"/>
      <c r="B39" s="54"/>
      <c r="C39" s="78" t="s">
        <v>842</v>
      </c>
      <c r="D39" s="78"/>
      <c r="E39" s="78"/>
      <c r="F39" s="78"/>
      <c r="G39" s="78"/>
      <c r="H39" s="78"/>
      <c r="I39" s="78"/>
      <c r="J39" s="78"/>
      <c r="K39" s="78"/>
      <c r="L39" s="62"/>
    </row>
    <row r="40" spans="1:28" x14ac:dyDescent="0.2">
      <c r="A40" s="73"/>
      <c r="B40" s="74"/>
      <c r="C40" s="74"/>
      <c r="D40" s="74"/>
      <c r="E40" s="74"/>
      <c r="F40" s="74"/>
      <c r="G40" s="74"/>
      <c r="H40" s="74"/>
      <c r="I40" s="74"/>
      <c r="J40" s="74"/>
      <c r="K40" s="75"/>
      <c r="L40" s="62"/>
    </row>
    <row r="41" spans="1:28" ht="36" x14ac:dyDescent="0.2">
      <c r="A41" s="80" t="str">
        <f>Source!E30</f>
        <v>3</v>
      </c>
      <c r="B41" s="32" t="s">
        <v>843</v>
      </c>
      <c r="C41" s="33" t="str">
        <f>CONCATENATE(Source!G30, ", ",Source!DW30)</f>
        <v>Смесь штукатурная М 75, КНАУФ, кг</v>
      </c>
      <c r="D41" s="82">
        <f>ROUND(Source!I30,6)</f>
        <v>43.536000000000001</v>
      </c>
      <c r="E41" s="29">
        <f>ROUND(Source!AC30,2)</f>
        <v>1.72</v>
      </c>
      <c r="F41" s="28"/>
      <c r="G41" s="30">
        <f>ROUND(Source!O30,0)</f>
        <v>75</v>
      </c>
      <c r="H41" s="82"/>
      <c r="I41" s="28"/>
      <c r="J41" s="28"/>
      <c r="K41" s="28"/>
      <c r="L41" s="62"/>
      <c r="T41">
        <f>Source!O30</f>
        <v>75</v>
      </c>
      <c r="U41">
        <f>Source!P30</f>
        <v>75</v>
      </c>
      <c r="V41">
        <f>Source!S30</f>
        <v>0</v>
      </c>
      <c r="W41">
        <f>Source!Q30</f>
        <v>0</v>
      </c>
      <c r="X41">
        <f>Source!R30</f>
        <v>0</v>
      </c>
      <c r="Y41">
        <f>Source!U30</f>
        <v>0</v>
      </c>
      <c r="Z41">
        <f>Source!V30</f>
        <v>0</v>
      </c>
      <c r="AA41">
        <f>Source!X30</f>
        <v>0</v>
      </c>
      <c r="AB41">
        <f>Source!Y30</f>
        <v>0</v>
      </c>
    </row>
    <row r="42" spans="1:28" x14ac:dyDescent="0.2">
      <c r="A42" s="81"/>
      <c r="B42" s="34"/>
      <c r="C42" s="35" t="s">
        <v>844</v>
      </c>
      <c r="D42" s="83"/>
      <c r="E42" s="36"/>
      <c r="F42" s="28"/>
      <c r="G42" s="37"/>
      <c r="H42" s="83"/>
      <c r="I42" s="28"/>
      <c r="J42" s="28"/>
      <c r="K42" s="28"/>
      <c r="L42" s="62"/>
    </row>
    <row r="43" spans="1:28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5"/>
      <c r="L43" s="62"/>
    </row>
    <row r="44" spans="1:28" ht="36" x14ac:dyDescent="0.2">
      <c r="A44" s="80" t="str">
        <f>Source!E31</f>
        <v>4</v>
      </c>
      <c r="B44" s="32" t="s">
        <v>845</v>
      </c>
      <c r="C44" s="33" t="str">
        <f>CONCATENATE(Source!G31, ", ",Source!DW31)</f>
        <v>Грунтовка акриловая ВД-АК-133, т</v>
      </c>
      <c r="D44" s="82">
        <f>ROUND(Source!I31,6)</f>
        <v>6.2000000000000003E-5</v>
      </c>
      <c r="E44" s="29">
        <f>ROUND(Source!AC31,2)</f>
        <v>11594.98</v>
      </c>
      <c r="F44" s="28"/>
      <c r="G44" s="30">
        <f>ROUND(Source!O31,0)</f>
        <v>1</v>
      </c>
      <c r="H44" s="82"/>
      <c r="I44" s="28"/>
      <c r="J44" s="28"/>
      <c r="K44" s="28"/>
      <c r="L44" s="62"/>
      <c r="T44">
        <f>Source!O31</f>
        <v>1</v>
      </c>
      <c r="U44">
        <f>Source!P31</f>
        <v>1</v>
      </c>
      <c r="V44">
        <f>Source!S31</f>
        <v>0</v>
      </c>
      <c r="W44">
        <f>Source!Q31</f>
        <v>0</v>
      </c>
      <c r="X44">
        <f>Source!R31</f>
        <v>0</v>
      </c>
      <c r="Y44">
        <f>Source!U31</f>
        <v>0</v>
      </c>
      <c r="Z44">
        <f>Source!V31</f>
        <v>0</v>
      </c>
      <c r="AA44">
        <f>Source!X31</f>
        <v>0</v>
      </c>
      <c r="AB44">
        <f>Source!Y31</f>
        <v>0</v>
      </c>
    </row>
    <row r="45" spans="1:28" x14ac:dyDescent="0.2">
      <c r="A45" s="81"/>
      <c r="B45" s="34"/>
      <c r="C45" s="35" t="s">
        <v>846</v>
      </c>
      <c r="D45" s="83"/>
      <c r="E45" s="36"/>
      <c r="F45" s="28"/>
      <c r="G45" s="37"/>
      <c r="H45" s="83"/>
      <c r="I45" s="28"/>
      <c r="J45" s="28"/>
      <c r="K45" s="28"/>
      <c r="L45" s="62"/>
    </row>
    <row r="46" spans="1:28" x14ac:dyDescent="0.2">
      <c r="A46" s="73"/>
      <c r="B46" s="74"/>
      <c r="C46" s="74"/>
      <c r="D46" s="74"/>
      <c r="E46" s="74"/>
      <c r="F46" s="74"/>
      <c r="G46" s="74"/>
      <c r="H46" s="74"/>
      <c r="I46" s="74"/>
      <c r="J46" s="74"/>
      <c r="K46" s="75"/>
      <c r="L46" s="62"/>
    </row>
    <row r="47" spans="1:28" ht="48" x14ac:dyDescent="0.2">
      <c r="A47" s="80" t="str">
        <f>Source!E32</f>
        <v>5</v>
      </c>
      <c r="B47" s="32" t="s">
        <v>847</v>
      </c>
      <c r="C47" s="33" t="str">
        <f>CONCATENATE(Source!G32, ", ",Source!DW32)</f>
        <v>Окраска поливинилацетатными водоэмульсионными составами улучшенная: по сборным конструкциям стен, подготовленным под окраску, 100 м2</v>
      </c>
      <c r="D47" s="82">
        <f>ROUND(Source!I32,6)</f>
        <v>0.48</v>
      </c>
      <c r="E47" s="29">
        <f>ROUND(Source!AB32,2)</f>
        <v>339.69</v>
      </c>
      <c r="F47" s="29">
        <f>ROUND(Source!AD32,2)</f>
        <v>8.26</v>
      </c>
      <c r="G47" s="84">
        <f>ROUND(Source!O32,0)</f>
        <v>163</v>
      </c>
      <c r="H47" s="84">
        <f>ROUND(Source!S32,0)</f>
        <v>119</v>
      </c>
      <c r="I47" s="30">
        <f>ROUND(Source!Q32,0)</f>
        <v>4</v>
      </c>
      <c r="J47" s="28">
        <f>ROUND(Source!AH32,6)</f>
        <v>27.72</v>
      </c>
      <c r="K47" s="31">
        <f>ROUND(Source!U32,6)</f>
        <v>13.3056</v>
      </c>
      <c r="L47" s="62"/>
      <c r="T47">
        <f>Source!O32</f>
        <v>163</v>
      </c>
      <c r="U47">
        <f>Source!P32</f>
        <v>40</v>
      </c>
      <c r="V47">
        <f>Source!S32</f>
        <v>119</v>
      </c>
      <c r="W47">
        <f>Source!Q32</f>
        <v>4</v>
      </c>
      <c r="X47">
        <f>Source!R32</f>
        <v>1</v>
      </c>
      <c r="Y47">
        <f>Source!U32</f>
        <v>13.3056</v>
      </c>
      <c r="Z47">
        <f>Source!V32</f>
        <v>6.336E-2</v>
      </c>
      <c r="AA47">
        <f>Source!X32</f>
        <v>121</v>
      </c>
      <c r="AB47">
        <f>Source!Y32</f>
        <v>59</v>
      </c>
    </row>
    <row r="48" spans="1:28" ht="60" x14ac:dyDescent="0.2">
      <c r="A48" s="81"/>
      <c r="B48" s="38" t="s">
        <v>50</v>
      </c>
      <c r="C48" s="35" t="s">
        <v>840</v>
      </c>
      <c r="D48" s="83"/>
      <c r="E48" s="29">
        <f>ROUND(Source!AF32,2)</f>
        <v>248.65</v>
      </c>
      <c r="F48" s="29">
        <f>ROUND(Source!AE32,2)</f>
        <v>1.56</v>
      </c>
      <c r="G48" s="85"/>
      <c r="H48" s="85"/>
      <c r="I48" s="30">
        <f>ROUND(Source!R32,0)</f>
        <v>1</v>
      </c>
      <c r="J48" s="28">
        <f>ROUND(Source!AI32,6)</f>
        <v>0.13200000000000001</v>
      </c>
      <c r="K48" s="31">
        <f>ROUND(Source!V32,6)</f>
        <v>6.336E-2</v>
      </c>
      <c r="L48" s="62"/>
    </row>
    <row r="49" spans="1:32" x14ac:dyDescent="0.2">
      <c r="A49" s="54"/>
      <c r="B49" s="54"/>
      <c r="C49" s="78" t="s">
        <v>848</v>
      </c>
      <c r="D49" s="78"/>
      <c r="E49" s="78"/>
      <c r="F49" s="78"/>
      <c r="G49" s="78"/>
      <c r="H49" s="78"/>
      <c r="I49" s="78"/>
      <c r="J49" s="78"/>
      <c r="K49" s="78"/>
      <c r="L49" s="62"/>
    </row>
    <row r="50" spans="1:32" x14ac:dyDescent="0.2">
      <c r="A50" s="54"/>
      <c r="B50" s="54"/>
      <c r="C50" s="78" t="s">
        <v>849</v>
      </c>
      <c r="D50" s="78"/>
      <c r="E50" s="78"/>
      <c r="F50" s="78"/>
      <c r="G50" s="78"/>
      <c r="H50" s="78"/>
      <c r="I50" s="78"/>
      <c r="J50" s="78"/>
      <c r="K50" s="78"/>
      <c r="L50" s="62"/>
    </row>
    <row r="51" spans="1:32" x14ac:dyDescent="0.2">
      <c r="A51" s="54"/>
      <c r="B51" s="54"/>
      <c r="C51" s="79" t="s">
        <v>850</v>
      </c>
      <c r="D51" s="78"/>
      <c r="E51" s="78"/>
      <c r="F51" s="78"/>
      <c r="G51" s="78"/>
      <c r="H51" s="78"/>
      <c r="I51" s="78"/>
      <c r="J51" s="78"/>
      <c r="K51" s="78"/>
      <c r="L51" s="62"/>
    </row>
    <row r="52" spans="1:32" ht="36" x14ac:dyDescent="0.2">
      <c r="A52" s="54"/>
      <c r="B52" s="54"/>
      <c r="C52" s="78" t="str">
        <f>Source!CN32</f>
        <v>Поправка: Мет.421/пр 04.08.20 Пр.10 Т.3 п. 1.1  Наименование: Производство ремонтно-строительных работ осуществляется в помещениях эксплуатируемого объекта капитального строительства без остановки рабочего процесса, при этом: в зоне производства ремонтно-строительных работ отсутствуют действующее технологическое или лабораторное оборудование, мебель и иные загромождающие помещения предметы</v>
      </c>
      <c r="D52" s="78"/>
      <c r="E52" s="78"/>
      <c r="F52" s="78"/>
      <c r="G52" s="78"/>
      <c r="H52" s="78"/>
      <c r="I52" s="78"/>
      <c r="J52" s="78"/>
      <c r="K52" s="78"/>
      <c r="L52" s="62"/>
      <c r="AF52" s="33" t="str">
        <f>Source!CN32</f>
        <v>Поправка: Мет.421/пр 04.08.20 Пр.10 Т.3 п. 1.1  Наименование: Производство ремонтно-строительных работ осуществляется в помещениях эксплуатируемого объекта капитального строительства без остановки рабочего процесса, при этом: в зоне производства ремонтно-строительных работ отсутствуют действующее технологическое или лабораторное оборудование, мебель и иные загромождающие помещения предметы</v>
      </c>
    </row>
    <row r="53" spans="1:32" x14ac:dyDescent="0.2">
      <c r="A53" s="73"/>
      <c r="B53" s="74"/>
      <c r="C53" s="74"/>
      <c r="D53" s="74"/>
      <c r="E53" s="74"/>
      <c r="F53" s="74"/>
      <c r="G53" s="74"/>
      <c r="H53" s="74"/>
      <c r="I53" s="74"/>
      <c r="J53" s="74"/>
      <c r="K53" s="75"/>
      <c r="L53" s="62"/>
    </row>
    <row r="54" spans="1:32" ht="36" x14ac:dyDescent="0.2">
      <c r="A54" s="80" t="str">
        <f>Source!E33</f>
        <v>6</v>
      </c>
      <c r="B54" s="32" t="s">
        <v>851</v>
      </c>
      <c r="C54" s="33" t="str">
        <f>CONCATENATE(Source!G33, ", ",Source!DW33)</f>
        <v>Краска водоэмульсионная для внутренних работ ВАК-10, т</v>
      </c>
      <c r="D54" s="82">
        <f>ROUND(Source!I33,6)</f>
        <v>3.024E-2</v>
      </c>
      <c r="E54" s="29">
        <f>ROUND(Source!AC33,2)</f>
        <v>14837.58</v>
      </c>
      <c r="F54" s="28"/>
      <c r="G54" s="30">
        <f>ROUND(Source!O33,0)</f>
        <v>449</v>
      </c>
      <c r="H54" s="82"/>
      <c r="I54" s="28"/>
      <c r="J54" s="28"/>
      <c r="K54" s="28"/>
      <c r="L54" s="62"/>
      <c r="T54">
        <f>Source!O33</f>
        <v>449</v>
      </c>
      <c r="U54">
        <f>Source!P33</f>
        <v>449</v>
      </c>
      <c r="V54">
        <f>Source!S33</f>
        <v>0</v>
      </c>
      <c r="W54">
        <f>Source!Q33</f>
        <v>0</v>
      </c>
      <c r="X54">
        <f>Source!R33</f>
        <v>0</v>
      </c>
      <c r="Y54">
        <f>Source!U33</f>
        <v>0</v>
      </c>
      <c r="Z54">
        <f>Source!V33</f>
        <v>0</v>
      </c>
      <c r="AA54">
        <f>Source!X33</f>
        <v>0</v>
      </c>
      <c r="AB54">
        <f>Source!Y33</f>
        <v>0</v>
      </c>
    </row>
    <row r="55" spans="1:32" x14ac:dyDescent="0.2">
      <c r="A55" s="81"/>
      <c r="B55" s="34"/>
      <c r="C55" s="35" t="s">
        <v>852</v>
      </c>
      <c r="D55" s="83"/>
      <c r="E55" s="36"/>
      <c r="F55" s="28"/>
      <c r="G55" s="37"/>
      <c r="H55" s="83"/>
      <c r="I55" s="28"/>
      <c r="J55" s="28"/>
      <c r="K55" s="28"/>
      <c r="L55" s="62"/>
    </row>
    <row r="56" spans="1:32" x14ac:dyDescent="0.2">
      <c r="A56" s="73"/>
      <c r="B56" s="74"/>
      <c r="C56" s="74"/>
      <c r="D56" s="74"/>
      <c r="E56" s="74"/>
      <c r="F56" s="74"/>
      <c r="G56" s="74"/>
      <c r="H56" s="74"/>
      <c r="I56" s="74"/>
      <c r="J56" s="74"/>
      <c r="K56" s="75"/>
      <c r="L56" s="62"/>
    </row>
    <row r="57" spans="1:32" ht="24" x14ac:dyDescent="0.2">
      <c r="A57" s="80" t="str">
        <f>Source!E34</f>
        <v>7</v>
      </c>
      <c r="B57" s="32" t="s">
        <v>853</v>
      </c>
      <c r="C57" s="33" t="str">
        <f>CONCATENATE(Source!G34, ", ",Source!DW34)</f>
        <v>Разборка покрытий полов: из линолеума и релина, 100 м2</v>
      </c>
      <c r="D57" s="82">
        <f>ROUND(Source!I34,6)</f>
        <v>0.48</v>
      </c>
      <c r="E57" s="29">
        <f>ROUND(Source!AB34,2)</f>
        <v>92.9</v>
      </c>
      <c r="F57" s="29">
        <f>ROUND(Source!AD34,2)</f>
        <v>4.0599999999999996</v>
      </c>
      <c r="G57" s="84">
        <f>ROUND(Source!O34,0)</f>
        <v>45</v>
      </c>
      <c r="H57" s="84">
        <f>ROUND(Source!S34,0)</f>
        <v>43</v>
      </c>
      <c r="I57" s="30">
        <f>ROUND(Source!Q34,0)</f>
        <v>2</v>
      </c>
      <c r="J57" s="28">
        <f>ROUND(Source!AH34,6)</f>
        <v>11.39</v>
      </c>
      <c r="K57" s="31">
        <f>ROUND(Source!U34,6)</f>
        <v>5.4672000000000001</v>
      </c>
      <c r="L57" s="62"/>
      <c r="T57">
        <f>Source!O34</f>
        <v>45</v>
      </c>
      <c r="U57">
        <f>Source!P34</f>
        <v>0</v>
      </c>
      <c r="V57">
        <f>Source!S34</f>
        <v>43</v>
      </c>
      <c r="W57">
        <f>Source!Q34</f>
        <v>2</v>
      </c>
      <c r="X57">
        <f>Source!R34</f>
        <v>1</v>
      </c>
      <c r="Y57">
        <f>Source!U34</f>
        <v>5.4672000000000001</v>
      </c>
      <c r="Z57">
        <f>Source!V34</f>
        <v>6.2399999999999997E-2</v>
      </c>
      <c r="AA57">
        <f>Source!X34</f>
        <v>40</v>
      </c>
      <c r="AB57">
        <f>Source!Y34</f>
        <v>22</v>
      </c>
    </row>
    <row r="58" spans="1:32" x14ac:dyDescent="0.2">
      <c r="A58" s="81"/>
      <c r="B58" s="34"/>
      <c r="C58" s="35" t="s">
        <v>840</v>
      </c>
      <c r="D58" s="83"/>
      <c r="E58" s="29">
        <f>ROUND(Source!AF34,2)</f>
        <v>88.84</v>
      </c>
      <c r="F58" s="29">
        <f>ROUND(Source!AE34,2)</f>
        <v>1.76</v>
      </c>
      <c r="G58" s="85"/>
      <c r="H58" s="85"/>
      <c r="I58" s="30">
        <f>ROUND(Source!R34,0)</f>
        <v>1</v>
      </c>
      <c r="J58" s="28">
        <f>ROUND(Source!AI34,6)</f>
        <v>0.13</v>
      </c>
      <c r="K58" s="31">
        <f>ROUND(Source!V34,6)</f>
        <v>6.2399999999999997E-2</v>
      </c>
      <c r="L58" s="62"/>
    </row>
    <row r="59" spans="1:32" x14ac:dyDescent="0.2">
      <c r="A59" s="54"/>
      <c r="B59" s="54"/>
      <c r="C59" s="78" t="s">
        <v>854</v>
      </c>
      <c r="D59" s="78"/>
      <c r="E59" s="78"/>
      <c r="F59" s="78"/>
      <c r="G59" s="78"/>
      <c r="H59" s="78"/>
      <c r="I59" s="78"/>
      <c r="J59" s="78"/>
      <c r="K59" s="78"/>
      <c r="L59" s="62"/>
    </row>
    <row r="60" spans="1:32" x14ac:dyDescent="0.2">
      <c r="A60" s="54"/>
      <c r="B60" s="54"/>
      <c r="C60" s="78" t="s">
        <v>855</v>
      </c>
      <c r="D60" s="78"/>
      <c r="E60" s="78"/>
      <c r="F60" s="78"/>
      <c r="G60" s="78"/>
      <c r="H60" s="78"/>
      <c r="I60" s="78"/>
      <c r="J60" s="78"/>
      <c r="K60" s="78"/>
      <c r="L60" s="62"/>
    </row>
    <row r="61" spans="1:32" x14ac:dyDescent="0.2">
      <c r="A61" s="73"/>
      <c r="B61" s="74"/>
      <c r="C61" s="74"/>
      <c r="D61" s="74"/>
      <c r="E61" s="74"/>
      <c r="F61" s="74"/>
      <c r="G61" s="74"/>
      <c r="H61" s="74"/>
      <c r="I61" s="74"/>
      <c r="J61" s="74"/>
      <c r="K61" s="75"/>
      <c r="L61" s="62"/>
    </row>
    <row r="62" spans="1:32" ht="24" x14ac:dyDescent="0.2">
      <c r="A62" s="80" t="str">
        <f>Source!E35</f>
        <v>8</v>
      </c>
      <c r="B62" s="32" t="s">
        <v>856</v>
      </c>
      <c r="C62" s="33" t="str">
        <f>CONCATENATE(Source!G35, ", ",Source!DW35)</f>
        <v>Устройство покрытий: из линолеума насухо со свариванием полотнищ в стыках, 100 м2</v>
      </c>
      <c r="D62" s="82">
        <f>ROUND(Source!I35,6)</f>
        <v>0.48</v>
      </c>
      <c r="E62" s="29">
        <f>ROUND(Source!AB35,2)</f>
        <v>564.16</v>
      </c>
      <c r="F62" s="29">
        <f>ROUND(Source!AD35,2)</f>
        <v>63.26</v>
      </c>
      <c r="G62" s="84">
        <f>ROUND(Source!O35,0)</f>
        <v>270</v>
      </c>
      <c r="H62" s="84">
        <f>ROUND(Source!S35,0)</f>
        <v>207</v>
      </c>
      <c r="I62" s="30">
        <f>ROUND(Source!Q35,0)</f>
        <v>30</v>
      </c>
      <c r="J62" s="28">
        <f>ROUND(Source!AH35,6)</f>
        <v>52.014960000000002</v>
      </c>
      <c r="K62" s="31">
        <f>ROUND(Source!U35,6)</f>
        <v>24.967181</v>
      </c>
      <c r="L62" s="62"/>
      <c r="T62">
        <f>Source!O35</f>
        <v>270</v>
      </c>
      <c r="U62">
        <f>Source!P35</f>
        <v>33</v>
      </c>
      <c r="V62">
        <f>Source!S35</f>
        <v>207</v>
      </c>
      <c r="W62">
        <f>Source!Q35</f>
        <v>30</v>
      </c>
      <c r="X62">
        <f>Source!R35</f>
        <v>7</v>
      </c>
      <c r="Y62">
        <f>Source!U35</f>
        <v>24.967180799999998</v>
      </c>
      <c r="Z62">
        <f>Source!V35</f>
        <v>0.59039999999999981</v>
      </c>
      <c r="AA62">
        <f>Source!X35</f>
        <v>242</v>
      </c>
      <c r="AB62">
        <f>Source!Y35</f>
        <v>118</v>
      </c>
    </row>
    <row r="63" spans="1:32" ht="144" x14ac:dyDescent="0.2">
      <c r="A63" s="81"/>
      <c r="B63" s="38" t="s">
        <v>69</v>
      </c>
      <c r="C63" s="35" t="s">
        <v>840</v>
      </c>
      <c r="D63" s="83"/>
      <c r="E63" s="29">
        <f>ROUND(Source!AF35,2)</f>
        <v>432.25</v>
      </c>
      <c r="F63" s="29">
        <f>ROUND(Source!AE35,2)</f>
        <v>15.24</v>
      </c>
      <c r="G63" s="85"/>
      <c r="H63" s="85"/>
      <c r="I63" s="30">
        <f>ROUND(Source!R35,0)</f>
        <v>7</v>
      </c>
      <c r="J63" s="28">
        <f>ROUND(Source!AI35,6)</f>
        <v>1.23</v>
      </c>
      <c r="K63" s="31">
        <f>ROUND(Source!V35,6)</f>
        <v>0.59040000000000004</v>
      </c>
      <c r="L63" s="62"/>
    </row>
    <row r="64" spans="1:32" x14ac:dyDescent="0.2">
      <c r="A64" s="54"/>
      <c r="B64" s="54"/>
      <c r="C64" s="78" t="s">
        <v>857</v>
      </c>
      <c r="D64" s="78"/>
      <c r="E64" s="78"/>
      <c r="F64" s="78"/>
      <c r="G64" s="78"/>
      <c r="H64" s="78"/>
      <c r="I64" s="78"/>
      <c r="J64" s="78"/>
      <c r="K64" s="78"/>
      <c r="L64" s="62"/>
    </row>
    <row r="65" spans="1:32" x14ac:dyDescent="0.2">
      <c r="A65" s="54"/>
      <c r="B65" s="54"/>
      <c r="C65" s="78" t="s">
        <v>858</v>
      </c>
      <c r="D65" s="78"/>
      <c r="E65" s="78"/>
      <c r="F65" s="78"/>
      <c r="G65" s="78"/>
      <c r="H65" s="78"/>
      <c r="I65" s="78"/>
      <c r="J65" s="78"/>
      <c r="K65" s="78"/>
      <c r="L65" s="62"/>
    </row>
    <row r="66" spans="1:32" x14ac:dyDescent="0.2">
      <c r="A66" s="54"/>
      <c r="B66" s="54"/>
      <c r="C66" s="79" t="s">
        <v>859</v>
      </c>
      <c r="D66" s="78"/>
      <c r="E66" s="78"/>
      <c r="F66" s="78"/>
      <c r="G66" s="78"/>
      <c r="H66" s="78"/>
      <c r="I66" s="78"/>
      <c r="J66" s="78"/>
      <c r="K66" s="78"/>
      <c r="L66" s="62"/>
    </row>
    <row r="67" spans="1:32" ht="96" x14ac:dyDescent="0.2">
      <c r="A67" s="54"/>
      <c r="B67" s="54"/>
      <c r="C67" s="78" t="str">
        <f>Source!CN35</f>
        <v>Поправка: Прил.11.1, п.3.3  Наименование: Укладка линолиума, релина и ковровых покрытий с рисунком, требующими подгонки на стыках (к=1,25 к расходу линолеума, релина и ковровых покрытий)  Поправка: М-ка 421/пр 04.08.20 п.58 п.п. б)  Наименование: При отсутствии необходимых норм (единичных расценок), включенных в сборники ГЭСНр (ФЕРр, ТЕРр), сметные затраты на работы по капитальному ремонту и реконструкции объектов капитального строительства могут быть определены по сметным нормам, включенным в ГЭСН (ФЕР, ТЕР), аналогичным технологическим процессам в новом строительстве, в том числе по возведению новых конструктивных элементов  Поправка: Мет.421/пр 04.08.20 Пр.10 Т.3 п. 1.1  Наименование: Производство ремонтно-строительных работ осуществляется в помещениях эксплуатируемого объекта капитального строительства без остановки рабочего процесса, при этом: в зоне производства ремонтно-строительных работ отсутствуют действующее технологическое или лабораторное оборудование, мебель и иные загромождающие помещения предметы</v>
      </c>
      <c r="D67" s="78"/>
      <c r="E67" s="78"/>
      <c r="F67" s="78"/>
      <c r="G67" s="78"/>
      <c r="H67" s="78"/>
      <c r="I67" s="78"/>
      <c r="J67" s="78"/>
      <c r="K67" s="78"/>
      <c r="L67" s="62"/>
      <c r="AF67" s="33" t="str">
        <f>Source!CN35</f>
        <v>Поправка: Прил.11.1, п.3.3  Наименование: Укладка линолиума, релина и ковровых покрытий с рисунком, требующими подгонки на стыках (к=1,25 к расходу линолеума, релина и ковровых покрытий)  Поправка: М-ка 421/пр 04.08.20 п.58 п.п. б)  Наименование: При отсутствии необходимых норм (единичных расценок), включенных в сборники ГЭСНр (ФЕРр, ТЕРр), сметные затраты на работы по капитальному ремонту и реконструкции объектов капитального строительства могут быть определены по сметным нормам, включенным в ГЭСН (ФЕР, ТЕР), аналогичным технологическим процессам в новом строительстве, в том числе по возведению новых конструктивных элементов  Поправка: Мет.421/пр 04.08.20 Пр.10 Т.3 п. 1.1  Наименование: Производство ремонтно-строительных работ осуществляется в помещениях эксплуатируемого объекта капитального строительства без остановки рабочего процесса, при этом: в зоне производства ремонтно-строительных работ отсутствуют действующее технологическое или лабораторное оборудование, мебель и иные загромождающие помещения предметы</v>
      </c>
    </row>
    <row r="68" spans="1:32" x14ac:dyDescent="0.2">
      <c r="A68" s="73"/>
      <c r="B68" s="74"/>
      <c r="C68" s="74"/>
      <c r="D68" s="74"/>
      <c r="E68" s="74"/>
      <c r="F68" s="74"/>
      <c r="G68" s="74"/>
      <c r="H68" s="74"/>
      <c r="I68" s="74"/>
      <c r="J68" s="74"/>
      <c r="K68" s="75"/>
      <c r="L68" s="62"/>
    </row>
    <row r="69" spans="1:32" ht="36" x14ac:dyDescent="0.2">
      <c r="A69" s="80" t="str">
        <f>Source!E36</f>
        <v>9</v>
      </c>
      <c r="B69" s="32" t="s">
        <v>860</v>
      </c>
      <c r="C69" s="33" t="str">
        <f>CONCATENATE(Source!G36, ", ",Source!DW36)</f>
        <v>Линолеум (плитка) ARMSTRONG, ПВХ, толщиной: 2,0 мм, м2</v>
      </c>
      <c r="D69" s="82">
        <f>ROUND(Source!I36,6)</f>
        <v>60</v>
      </c>
      <c r="E69" s="29">
        <f>ROUND(Source!AC36,2)</f>
        <v>151</v>
      </c>
      <c r="F69" s="28"/>
      <c r="G69" s="30">
        <f>ROUND(Source!O36,0)</f>
        <v>9060</v>
      </c>
      <c r="H69" s="82"/>
      <c r="I69" s="28"/>
      <c r="J69" s="28"/>
      <c r="K69" s="28"/>
      <c r="L69" s="62"/>
      <c r="T69">
        <f>Source!O36</f>
        <v>9060</v>
      </c>
      <c r="U69">
        <f>Source!P36</f>
        <v>9060</v>
      </c>
      <c r="V69">
        <f>Source!S36</f>
        <v>0</v>
      </c>
      <c r="W69">
        <f>Source!Q36</f>
        <v>0</v>
      </c>
      <c r="X69">
        <f>Source!R36</f>
        <v>0</v>
      </c>
      <c r="Y69">
        <f>Source!U36</f>
        <v>0</v>
      </c>
      <c r="Z69">
        <f>Source!V36</f>
        <v>0</v>
      </c>
      <c r="AA69">
        <f>Source!X36</f>
        <v>0</v>
      </c>
      <c r="AB69">
        <f>Source!Y36</f>
        <v>0</v>
      </c>
    </row>
    <row r="70" spans="1:32" x14ac:dyDescent="0.2">
      <c r="A70" s="81"/>
      <c r="B70" s="34"/>
      <c r="C70" s="35" t="s">
        <v>861</v>
      </c>
      <c r="D70" s="83"/>
      <c r="E70" s="36"/>
      <c r="F70" s="28"/>
      <c r="G70" s="37"/>
      <c r="H70" s="83"/>
      <c r="I70" s="28"/>
      <c r="J70" s="28"/>
      <c r="K70" s="28"/>
      <c r="L70" s="62"/>
    </row>
    <row r="71" spans="1:32" x14ac:dyDescent="0.2">
      <c r="A71" s="73"/>
      <c r="B71" s="74"/>
      <c r="C71" s="74"/>
      <c r="D71" s="74"/>
      <c r="E71" s="74"/>
      <c r="F71" s="74"/>
      <c r="G71" s="74"/>
      <c r="H71" s="74"/>
      <c r="I71" s="74"/>
      <c r="J71" s="74"/>
      <c r="K71" s="75"/>
      <c r="L71" s="62"/>
    </row>
    <row r="72" spans="1:32" ht="24" x14ac:dyDescent="0.2">
      <c r="A72" s="80" t="str">
        <f>Source!E37</f>
        <v>10</v>
      </c>
      <c r="B72" s="32" t="s">
        <v>862</v>
      </c>
      <c r="C72" s="33" t="s">
        <v>953</v>
      </c>
      <c r="D72" s="82">
        <f>ROUND(Source!I37,6)</f>
        <v>0.27</v>
      </c>
      <c r="E72" s="29">
        <f>ROUND(Source!AB37,2)</f>
        <v>79</v>
      </c>
      <c r="F72" s="29">
        <f>ROUND(Source!AD37,2)</f>
        <v>6.68</v>
      </c>
      <c r="G72" s="84">
        <f>ROUND(Source!O37,0)</f>
        <v>22</v>
      </c>
      <c r="H72" s="84">
        <f>ROUND(Source!S37,0)</f>
        <v>20</v>
      </c>
      <c r="I72" s="30">
        <f>ROUND(Source!Q37,0)</f>
        <v>2</v>
      </c>
      <c r="J72" s="28">
        <f>ROUND(Source!AH37,6)</f>
        <v>8.4787199999999991</v>
      </c>
      <c r="K72" s="31">
        <f>ROUND(Source!U37,6)</f>
        <v>2.2892540000000001</v>
      </c>
      <c r="L72" s="62"/>
      <c r="T72">
        <f>Source!O37</f>
        <v>22</v>
      </c>
      <c r="U72">
        <f>Source!P37</f>
        <v>0</v>
      </c>
      <c r="V72">
        <f>Source!S37</f>
        <v>20</v>
      </c>
      <c r="W72">
        <f>Source!Q37</f>
        <v>2</v>
      </c>
      <c r="X72">
        <f>Source!R37</f>
        <v>0</v>
      </c>
      <c r="Y72">
        <f>Source!U37</f>
        <v>2.2892543999999999</v>
      </c>
      <c r="Z72">
        <f>Source!V37</f>
        <v>2.9160000000000002E-2</v>
      </c>
      <c r="AA72">
        <f>Source!X37</f>
        <v>23</v>
      </c>
      <c r="AB72">
        <f>Source!Y37</f>
        <v>11</v>
      </c>
    </row>
    <row r="73" spans="1:32" ht="132" x14ac:dyDescent="0.2">
      <c r="A73" s="81"/>
      <c r="B73" s="38" t="s">
        <v>83</v>
      </c>
      <c r="C73" s="35" t="s">
        <v>863</v>
      </c>
      <c r="D73" s="83"/>
      <c r="E73" s="29">
        <f>ROUND(Source!AF37,2)</f>
        <v>72.319999999999993</v>
      </c>
      <c r="F73" s="29">
        <f>ROUND(Source!AE37,2)</f>
        <v>1.28</v>
      </c>
      <c r="G73" s="85"/>
      <c r="H73" s="85"/>
      <c r="I73" s="30">
        <f>ROUND(Source!R37,0)</f>
        <v>0</v>
      </c>
      <c r="J73" s="28">
        <f>ROUND(Source!AI37,6)</f>
        <v>0.108</v>
      </c>
      <c r="K73" s="31">
        <f>ROUND(Source!V37,6)</f>
        <v>2.9159999999999998E-2</v>
      </c>
      <c r="L73" s="62"/>
    </row>
    <row r="74" spans="1:32" x14ac:dyDescent="0.2">
      <c r="A74" s="54"/>
      <c r="B74" s="54"/>
      <c r="C74" s="78" t="s">
        <v>864</v>
      </c>
      <c r="D74" s="78"/>
      <c r="E74" s="78"/>
      <c r="F74" s="78"/>
      <c r="G74" s="78"/>
      <c r="H74" s="78"/>
      <c r="I74" s="78"/>
      <c r="J74" s="78"/>
      <c r="K74" s="78"/>
      <c r="L74" s="62"/>
    </row>
    <row r="75" spans="1:32" x14ac:dyDescent="0.2">
      <c r="A75" s="54"/>
      <c r="B75" s="54"/>
      <c r="C75" s="78" t="s">
        <v>865</v>
      </c>
      <c r="D75" s="78"/>
      <c r="E75" s="78"/>
      <c r="F75" s="78"/>
      <c r="G75" s="78"/>
      <c r="H75" s="78"/>
      <c r="I75" s="78"/>
      <c r="J75" s="78"/>
      <c r="K75" s="78"/>
      <c r="L75" s="62"/>
    </row>
    <row r="76" spans="1:32" x14ac:dyDescent="0.2">
      <c r="A76" s="54"/>
      <c r="B76" s="54"/>
      <c r="C76" s="79" t="s">
        <v>866</v>
      </c>
      <c r="D76" s="78"/>
      <c r="E76" s="78"/>
      <c r="F76" s="78"/>
      <c r="G76" s="78"/>
      <c r="H76" s="78"/>
      <c r="I76" s="78"/>
      <c r="J76" s="78"/>
      <c r="K76" s="78"/>
      <c r="L76" s="62"/>
    </row>
    <row r="77" spans="1:32" ht="84" x14ac:dyDescent="0.2">
      <c r="A77" s="54"/>
      <c r="B77" s="54"/>
      <c r="C77" s="78" t="str">
        <f>Source!CN37</f>
        <v>Поправка: МР 519/пр Табл.2, п.2  Наименование: При демонтаже (разборке) сборных деревянных конструкций  Поправка: М-ка 421/пр 04.08.20 п.58 п.п. б)  Наименование: При отсутствии необходимых норм (единичных расценок), включенных в сборники ГЭСНр (ФЕРр, ТЕРр), сметные затраты на работы по капитальному ремонту и реконструкции объектов капитального строительства могут быть определены по сметным нормам, включенным в ГЭСН (ФЕР, ТЕР), аналогичным технологическим процессам в новом строительстве, в том числе по возведению новых конструктивных элементов  Поправка: Мет.421/пр 04.08.20 Пр.10 Т.3 п. 1.1  Наименование: Производство ремонтно-строительных работ осуществляется в помещениях эксплуатируемого объекта капитального строительства без остановки рабочего процесса, при этом: в зоне производства ремонтно-строительных работ отсутствуют действующее технологическое или лабораторное оборудование, мебель и иные загромождающие помещения предметы</v>
      </c>
      <c r="D77" s="78"/>
      <c r="E77" s="78"/>
      <c r="F77" s="78"/>
      <c r="G77" s="78"/>
      <c r="H77" s="78"/>
      <c r="I77" s="78"/>
      <c r="J77" s="78"/>
      <c r="K77" s="78"/>
      <c r="L77" s="62"/>
      <c r="AF77" s="33" t="str">
        <f>Source!CN37</f>
        <v>Поправка: МР 519/пр Табл.2, п.2  Наименование: При демонтаже (разборке) сборных деревянных конструкций  Поправка: М-ка 421/пр 04.08.20 п.58 п.п. б)  Наименование: При отсутствии необходимых норм (единичных расценок), включенных в сборники ГЭСНр (ФЕРр, ТЕРр), сметные затраты на работы по капитальному ремонту и реконструкции объектов капитального строительства могут быть определены по сметным нормам, включенным в ГЭСН (ФЕР, ТЕР), аналогичным технологическим процессам в новом строительстве, в том числе по возведению новых конструктивных элементов  Поправка: Мет.421/пр 04.08.20 Пр.10 Т.3 п. 1.1  Наименование: Производство ремонтно-строительных работ осуществляется в помещениях эксплуатируемого объекта капитального строительства без остановки рабочего процесса, при этом: в зоне производства ремонтно-строительных работ отсутствуют действующее технологическое или лабораторное оборудование, мебель и иные загромождающие помещения предметы</v>
      </c>
    </row>
    <row r="78" spans="1:32" x14ac:dyDescent="0.2">
      <c r="A78" s="73"/>
      <c r="B78" s="74"/>
      <c r="C78" s="74"/>
      <c r="D78" s="74"/>
      <c r="E78" s="74"/>
      <c r="F78" s="74"/>
      <c r="G78" s="74"/>
      <c r="H78" s="74"/>
      <c r="I78" s="74"/>
      <c r="J78" s="74"/>
      <c r="K78" s="75"/>
      <c r="L78" s="62"/>
    </row>
    <row r="79" spans="1:32" ht="24" x14ac:dyDescent="0.2">
      <c r="A79" s="80" t="str">
        <f>Source!E38</f>
        <v>11</v>
      </c>
      <c r="B79" s="32" t="s">
        <v>862</v>
      </c>
      <c r="C79" s="33" t="str">
        <f>CONCATENATE(Source!G38, ", ",Source!DW38)</f>
        <v>Устройство плинтусов: деревянных, 100 м</v>
      </c>
      <c r="D79" s="82">
        <f>ROUND(Source!I38,6)</f>
        <v>0.27</v>
      </c>
      <c r="E79" s="29">
        <f>ROUND(Source!AB38,2)</f>
        <v>595.19000000000005</v>
      </c>
      <c r="F79" s="29">
        <f>ROUND(Source!AD38,2)</f>
        <v>8.36</v>
      </c>
      <c r="G79" s="84">
        <f>ROUND(Source!O38,0)</f>
        <v>160</v>
      </c>
      <c r="H79" s="84">
        <f>ROUND(Source!S38,0)</f>
        <v>24</v>
      </c>
      <c r="I79" s="30">
        <f>ROUND(Source!Q38,0)</f>
        <v>2</v>
      </c>
      <c r="J79" s="28">
        <f>ROUND(Source!AH38,6)</f>
        <v>10.5984</v>
      </c>
      <c r="K79" s="31">
        <f>ROUND(Source!U38,6)</f>
        <v>2.8615680000000001</v>
      </c>
      <c r="L79" s="62"/>
      <c r="T79">
        <f>Source!O38</f>
        <v>160</v>
      </c>
      <c r="U79">
        <f>Source!P38</f>
        <v>134</v>
      </c>
      <c r="V79">
        <f>Source!S38</f>
        <v>24</v>
      </c>
      <c r="W79">
        <f>Source!Q38</f>
        <v>2</v>
      </c>
      <c r="X79">
        <f>Source!R38</f>
        <v>0</v>
      </c>
      <c r="Y79">
        <f>Source!U38</f>
        <v>2.8615679999999997</v>
      </c>
      <c r="Z79">
        <f>Source!V38</f>
        <v>3.6449999999999996E-2</v>
      </c>
      <c r="AA79">
        <f>Source!X38</f>
        <v>27</v>
      </c>
      <c r="AB79">
        <f>Source!Y38</f>
        <v>13</v>
      </c>
    </row>
    <row r="80" spans="1:32" ht="108" x14ac:dyDescent="0.2">
      <c r="A80" s="81"/>
      <c r="B80" s="38" t="s">
        <v>86</v>
      </c>
      <c r="C80" s="35" t="s">
        <v>863</v>
      </c>
      <c r="D80" s="83"/>
      <c r="E80" s="29">
        <f>ROUND(Source!AF38,2)</f>
        <v>90.4</v>
      </c>
      <c r="F80" s="29">
        <f>ROUND(Source!AE38,2)</f>
        <v>1.61</v>
      </c>
      <c r="G80" s="85"/>
      <c r="H80" s="85"/>
      <c r="I80" s="30">
        <f>ROUND(Source!R38,0)</f>
        <v>0</v>
      </c>
      <c r="J80" s="28">
        <f>ROUND(Source!AI38,6)</f>
        <v>0.13500000000000001</v>
      </c>
      <c r="K80" s="31">
        <f>ROUND(Source!V38,6)</f>
        <v>3.6450000000000003E-2</v>
      </c>
      <c r="L80" s="62"/>
    </row>
    <row r="81" spans="1:32" x14ac:dyDescent="0.2">
      <c r="A81" s="54"/>
      <c r="B81" s="54"/>
      <c r="C81" s="78" t="s">
        <v>867</v>
      </c>
      <c r="D81" s="78"/>
      <c r="E81" s="78"/>
      <c r="F81" s="78"/>
      <c r="G81" s="78"/>
      <c r="H81" s="78"/>
      <c r="I81" s="78"/>
      <c r="J81" s="78"/>
      <c r="K81" s="78"/>
      <c r="L81" s="62"/>
    </row>
    <row r="82" spans="1:32" x14ac:dyDescent="0.2">
      <c r="A82" s="54"/>
      <c r="B82" s="54"/>
      <c r="C82" s="78" t="s">
        <v>868</v>
      </c>
      <c r="D82" s="78"/>
      <c r="E82" s="78"/>
      <c r="F82" s="78"/>
      <c r="G82" s="78"/>
      <c r="H82" s="78"/>
      <c r="I82" s="78"/>
      <c r="J82" s="78"/>
      <c r="K82" s="78"/>
      <c r="L82" s="62"/>
    </row>
    <row r="83" spans="1:32" x14ac:dyDescent="0.2">
      <c r="A83" s="54"/>
      <c r="B83" s="54"/>
      <c r="C83" s="79" t="s">
        <v>869</v>
      </c>
      <c r="D83" s="78"/>
      <c r="E83" s="78"/>
      <c r="F83" s="78"/>
      <c r="G83" s="78"/>
      <c r="H83" s="78"/>
      <c r="I83" s="78"/>
      <c r="J83" s="78"/>
      <c r="K83" s="78"/>
      <c r="L83" s="62"/>
    </row>
    <row r="84" spans="1:32" ht="72" x14ac:dyDescent="0.2">
      <c r="A84" s="54"/>
      <c r="B84" s="54"/>
      <c r="C84" s="78" t="str">
        <f>Source!CN38</f>
        <v>Поправка: М-ка 421/пр 04.08.20 п.58 п.п. б)  Наименование: При отсутствии необходимых норм (единичных расценок), включенных в сборники ГЭСНр (ФЕРр, ТЕРр), сметные затраты на работы по капитальному ремонту и реконструкции объектов капитального строительства могут быть определены по сметным нормам, включенным в ГЭСН (ФЕР, ТЕР), аналогичным технологическим процессам в новом строительстве, в том числе по возведению новых конструктивных элементов  Поправка: Мет.421/пр 04.08.20 Пр.10 Т.3 п. 1.1  Наименование: Производство ремонтно-строительных работ осуществляется в помещениях эксплуатируемого объекта капитального строительства без остановки рабочего процесса, при этом: в зоне производства ремонтно-строительных работ отсутствуют действующее технологическое или лабораторное оборудование, мебель и иные загромождающие помещения предметы</v>
      </c>
      <c r="D84" s="78"/>
      <c r="E84" s="78"/>
      <c r="F84" s="78"/>
      <c r="G84" s="78"/>
      <c r="H84" s="78"/>
      <c r="I84" s="78"/>
      <c r="J84" s="78"/>
      <c r="K84" s="78"/>
      <c r="L84" s="62"/>
      <c r="AF84" s="33" t="str">
        <f>Source!CN38</f>
        <v>Поправка: М-ка 421/пр 04.08.20 п.58 п.п. б)  Наименование: При отсутствии необходимых норм (единичных расценок), включенных в сборники ГЭСНр (ФЕРр, ТЕРр), сметные затраты на работы по капитальному ремонту и реконструкции объектов капитального строительства могут быть определены по сметным нормам, включенным в ГЭСН (ФЕР, ТЕР), аналогичным технологическим процессам в новом строительстве, в том числе по возведению новых конструктивных элементов  Поправка: Мет.421/пр 04.08.20 Пр.10 Т.3 п. 1.1  Наименование: Производство ремонтно-строительных работ осуществляется в помещениях эксплуатируемого объекта капитального строительства без остановки рабочего процесса, при этом: в зоне производства ремонтно-строительных работ отсутствуют действующее технологическое или лабораторное оборудование, мебель и иные загромождающие помещения предметы</v>
      </c>
    </row>
    <row r="85" spans="1:32" x14ac:dyDescent="0.2">
      <c r="A85" s="73"/>
      <c r="B85" s="74"/>
      <c r="C85" s="74"/>
      <c r="D85" s="74"/>
      <c r="E85" s="74"/>
      <c r="F85" s="74"/>
      <c r="G85" s="74"/>
      <c r="H85" s="74"/>
      <c r="I85" s="74"/>
      <c r="J85" s="74"/>
      <c r="K85" s="75"/>
      <c r="L85" s="62"/>
    </row>
    <row r="86" spans="1:32" ht="60" x14ac:dyDescent="0.2">
      <c r="A86" s="80" t="str">
        <f>Source!E39</f>
        <v>12</v>
      </c>
      <c r="B86" s="32" t="s">
        <v>870</v>
      </c>
      <c r="C86" s="33" t="str">
        <f>CONCATENATE(Source!G39, ", ",Source!DW39)</f>
        <v>Сплошное выравнивание внутренних поверхностей (однослойное оштукатуривание) из сухих растворных смесей толщиной до 10 мм для последующей окраски или оклейки обоями: стен, 100 м2</v>
      </c>
      <c r="D86" s="82">
        <f>ROUND(Source!I39,6)</f>
        <v>0.95799999999999996</v>
      </c>
      <c r="E86" s="29">
        <f>ROUND(Source!AB39,2)</f>
        <v>321.52999999999997</v>
      </c>
      <c r="F86" s="29">
        <f>ROUND(Source!AD39,2)</f>
        <v>17.16</v>
      </c>
      <c r="G86" s="84">
        <f>ROUND(Source!O39,0)</f>
        <v>307</v>
      </c>
      <c r="H86" s="84">
        <f>ROUND(Source!S39,0)</f>
        <v>290</v>
      </c>
      <c r="I86" s="30">
        <f>ROUND(Source!Q39,0)</f>
        <v>16</v>
      </c>
      <c r="J86" s="28">
        <f>ROUND(Source!AH39,6)</f>
        <v>35.83</v>
      </c>
      <c r="K86" s="31">
        <f>ROUND(Source!U39,6)</f>
        <v>34.325139999999998</v>
      </c>
      <c r="L86" s="62"/>
      <c r="T86">
        <f>Source!O39</f>
        <v>307</v>
      </c>
      <c r="U86">
        <f>Source!P39</f>
        <v>1</v>
      </c>
      <c r="V86">
        <f>Source!S39</f>
        <v>290</v>
      </c>
      <c r="W86">
        <f>Source!Q39</f>
        <v>16</v>
      </c>
      <c r="X86">
        <f>Source!R39</f>
        <v>10</v>
      </c>
      <c r="Y86">
        <f>Source!U39</f>
        <v>34.325139999999998</v>
      </c>
      <c r="Z86">
        <f>Source!V39</f>
        <v>0.90051999999999988</v>
      </c>
      <c r="AA86">
        <f>Source!X39</f>
        <v>270</v>
      </c>
      <c r="AB86">
        <f>Source!Y39</f>
        <v>132</v>
      </c>
    </row>
    <row r="87" spans="1:32" x14ac:dyDescent="0.2">
      <c r="A87" s="81"/>
      <c r="B87" s="34"/>
      <c r="C87" s="35" t="s">
        <v>871</v>
      </c>
      <c r="D87" s="83"/>
      <c r="E87" s="29">
        <f>ROUND(Source!AF39,2)</f>
        <v>303.12</v>
      </c>
      <c r="F87" s="29">
        <f>ROUND(Source!AE39,2)</f>
        <v>10.18</v>
      </c>
      <c r="G87" s="85"/>
      <c r="H87" s="85"/>
      <c r="I87" s="30">
        <f>ROUND(Source!R39,0)</f>
        <v>10</v>
      </c>
      <c r="J87" s="28">
        <f>ROUND(Source!AI39,6)</f>
        <v>0.94</v>
      </c>
      <c r="K87" s="31">
        <f>ROUND(Source!V39,6)</f>
        <v>0.90051999999999999</v>
      </c>
      <c r="L87" s="62"/>
    </row>
    <row r="88" spans="1:32" x14ac:dyDescent="0.2">
      <c r="A88" s="54"/>
      <c r="B88" s="54"/>
      <c r="C88" s="78" t="s">
        <v>872</v>
      </c>
      <c r="D88" s="78"/>
      <c r="E88" s="78"/>
      <c r="F88" s="78"/>
      <c r="G88" s="78"/>
      <c r="H88" s="78"/>
      <c r="I88" s="78"/>
      <c r="J88" s="78"/>
      <c r="K88" s="78"/>
      <c r="L88" s="62"/>
    </row>
    <row r="89" spans="1:32" x14ac:dyDescent="0.2">
      <c r="A89" s="54"/>
      <c r="B89" s="54"/>
      <c r="C89" s="78" t="s">
        <v>873</v>
      </c>
      <c r="D89" s="78"/>
      <c r="E89" s="78"/>
      <c r="F89" s="78"/>
      <c r="G89" s="78"/>
      <c r="H89" s="78"/>
      <c r="I89" s="78"/>
      <c r="J89" s="78"/>
      <c r="K89" s="78"/>
      <c r="L89" s="62"/>
    </row>
    <row r="90" spans="1:32" x14ac:dyDescent="0.2">
      <c r="A90" s="73"/>
      <c r="B90" s="74"/>
      <c r="C90" s="74"/>
      <c r="D90" s="74"/>
      <c r="E90" s="74"/>
      <c r="F90" s="74"/>
      <c r="G90" s="74"/>
      <c r="H90" s="74"/>
      <c r="I90" s="74"/>
      <c r="J90" s="74"/>
      <c r="K90" s="75"/>
      <c r="L90" s="62"/>
    </row>
    <row r="91" spans="1:32" ht="36" x14ac:dyDescent="0.2">
      <c r="A91" s="80" t="str">
        <f>Source!E40</f>
        <v>13</v>
      </c>
      <c r="B91" s="32" t="s">
        <v>843</v>
      </c>
      <c r="C91" s="33" t="str">
        <f>CONCATENATE(Source!G40, ", ",Source!DW40)</f>
        <v>Смесь штукатурная М 75, КНАУФ, кг</v>
      </c>
      <c r="D91" s="82">
        <f>ROUND(Source!I40,6)</f>
        <v>819.09</v>
      </c>
      <c r="E91" s="29">
        <f>ROUND(Source!AC40,2)</f>
        <v>1.72</v>
      </c>
      <c r="F91" s="28"/>
      <c r="G91" s="30">
        <f>ROUND(Source!O40,0)</f>
        <v>1409</v>
      </c>
      <c r="H91" s="82"/>
      <c r="I91" s="28"/>
      <c r="J91" s="28"/>
      <c r="K91" s="28"/>
      <c r="L91" s="62"/>
      <c r="T91">
        <f>Source!O40</f>
        <v>1409</v>
      </c>
      <c r="U91">
        <f>Source!P40</f>
        <v>1409</v>
      </c>
      <c r="V91">
        <f>Source!S40</f>
        <v>0</v>
      </c>
      <c r="W91">
        <f>Source!Q40</f>
        <v>0</v>
      </c>
      <c r="X91">
        <f>Source!R40</f>
        <v>0</v>
      </c>
      <c r="Y91">
        <f>Source!U40</f>
        <v>0</v>
      </c>
      <c r="Z91">
        <f>Source!V40</f>
        <v>0</v>
      </c>
      <c r="AA91">
        <f>Source!X40</f>
        <v>0</v>
      </c>
      <c r="AB91">
        <f>Source!Y40</f>
        <v>0</v>
      </c>
    </row>
    <row r="92" spans="1:32" x14ac:dyDescent="0.2">
      <c r="A92" s="81"/>
      <c r="B92" s="34"/>
      <c r="C92" s="35" t="s">
        <v>874</v>
      </c>
      <c r="D92" s="83"/>
      <c r="E92" s="36"/>
      <c r="F92" s="28"/>
      <c r="G92" s="37"/>
      <c r="H92" s="83"/>
      <c r="I92" s="28"/>
      <c r="J92" s="28"/>
      <c r="K92" s="28"/>
      <c r="L92" s="62"/>
    </row>
    <row r="93" spans="1:32" x14ac:dyDescent="0.2">
      <c r="A93" s="73"/>
      <c r="B93" s="74"/>
      <c r="C93" s="74"/>
      <c r="D93" s="74"/>
      <c r="E93" s="74"/>
      <c r="F93" s="74"/>
      <c r="G93" s="74"/>
      <c r="H93" s="74"/>
      <c r="I93" s="74"/>
      <c r="J93" s="74"/>
      <c r="K93" s="75"/>
      <c r="L93" s="62"/>
    </row>
    <row r="94" spans="1:32" ht="36" x14ac:dyDescent="0.2">
      <c r="A94" s="80" t="str">
        <f>Source!E41</f>
        <v>14</v>
      </c>
      <c r="B94" s="32" t="s">
        <v>845</v>
      </c>
      <c r="C94" s="33" t="str">
        <f>CONCATENATE(Source!G41, ", ",Source!DW41)</f>
        <v>Грунтовка акриловая ВД-АК-133, т</v>
      </c>
      <c r="D94" s="82">
        <f>ROUND(Source!I41,6)</f>
        <v>1.0155000000000001E-2</v>
      </c>
      <c r="E94" s="29">
        <f>ROUND(Source!AC41,2)</f>
        <v>11594.98</v>
      </c>
      <c r="F94" s="28"/>
      <c r="G94" s="30">
        <f>ROUND(Source!O41,0)</f>
        <v>118</v>
      </c>
      <c r="H94" s="82"/>
      <c r="I94" s="28"/>
      <c r="J94" s="28"/>
      <c r="K94" s="28"/>
      <c r="L94" s="62"/>
      <c r="T94">
        <f>Source!O41</f>
        <v>118</v>
      </c>
      <c r="U94">
        <f>Source!P41</f>
        <v>118</v>
      </c>
      <c r="V94">
        <f>Source!S41</f>
        <v>0</v>
      </c>
      <c r="W94">
        <f>Source!Q41</f>
        <v>0</v>
      </c>
      <c r="X94">
        <f>Source!R41</f>
        <v>0</v>
      </c>
      <c r="Y94">
        <f>Source!U41</f>
        <v>0</v>
      </c>
      <c r="Z94">
        <f>Source!V41</f>
        <v>0</v>
      </c>
      <c r="AA94">
        <f>Source!X41</f>
        <v>0</v>
      </c>
      <c r="AB94">
        <f>Source!Y41</f>
        <v>0</v>
      </c>
    </row>
    <row r="95" spans="1:32" x14ac:dyDescent="0.2">
      <c r="A95" s="81"/>
      <c r="B95" s="34"/>
      <c r="C95" s="35" t="s">
        <v>875</v>
      </c>
      <c r="D95" s="83"/>
      <c r="E95" s="36"/>
      <c r="F95" s="28"/>
      <c r="G95" s="37"/>
      <c r="H95" s="83"/>
      <c r="I95" s="28"/>
      <c r="J95" s="28"/>
      <c r="K95" s="28"/>
      <c r="L95" s="62"/>
    </row>
    <row r="96" spans="1:32" x14ac:dyDescent="0.2">
      <c r="A96" s="73"/>
      <c r="B96" s="74"/>
      <c r="C96" s="74"/>
      <c r="D96" s="74"/>
      <c r="E96" s="74"/>
      <c r="F96" s="74"/>
      <c r="G96" s="74"/>
      <c r="H96" s="74"/>
      <c r="I96" s="74"/>
      <c r="J96" s="74"/>
      <c r="K96" s="75"/>
      <c r="L96" s="62"/>
    </row>
    <row r="97" spans="1:32" ht="48" x14ac:dyDescent="0.2">
      <c r="A97" s="80" t="str">
        <f>Source!E42</f>
        <v>15</v>
      </c>
      <c r="B97" s="32" t="s">
        <v>876</v>
      </c>
      <c r="C97" s="33" t="str">
        <f>CONCATENATE(Source!G42, ", ",Source!DW42)</f>
        <v>Окраска поливинилацетатными водоэмульсионными составами простая по штукатурке и сборным конструкциям: стен, подготовленным под окраску, 100 м2</v>
      </c>
      <c r="D97" s="82">
        <f>ROUND(Source!I42,6)</f>
        <v>0.95799999999999996</v>
      </c>
      <c r="E97" s="29">
        <f>ROUND(Source!AB42,2)</f>
        <v>222.54</v>
      </c>
      <c r="F97" s="29">
        <f>ROUND(Source!AD42,2)</f>
        <v>8.36</v>
      </c>
      <c r="G97" s="84">
        <f>ROUND(Source!O42,0)</f>
        <v>214</v>
      </c>
      <c r="H97" s="84">
        <f>ROUND(Source!S42,0)</f>
        <v>164</v>
      </c>
      <c r="I97" s="30">
        <f>ROUND(Source!Q42,0)</f>
        <v>8</v>
      </c>
      <c r="J97" s="28">
        <f>ROUND(Source!AH42,6)</f>
        <v>19.044</v>
      </c>
      <c r="K97" s="31">
        <f>ROUND(Source!U42,6)</f>
        <v>18.244152</v>
      </c>
      <c r="L97" s="62"/>
      <c r="T97">
        <f>Source!O42</f>
        <v>214</v>
      </c>
      <c r="U97">
        <f>Source!P42</f>
        <v>42</v>
      </c>
      <c r="V97">
        <f>Source!S42</f>
        <v>164</v>
      </c>
      <c r="W97">
        <f>Source!Q42</f>
        <v>8</v>
      </c>
      <c r="X97">
        <f>Source!R42</f>
        <v>2</v>
      </c>
      <c r="Y97">
        <f>Source!U42</f>
        <v>18.244151999999996</v>
      </c>
      <c r="Z97">
        <f>Source!V42</f>
        <v>0.12932999999999997</v>
      </c>
      <c r="AA97">
        <f>Source!X42</f>
        <v>168</v>
      </c>
      <c r="AB97">
        <f>Source!Y42</f>
        <v>69</v>
      </c>
    </row>
    <row r="98" spans="1:32" ht="108" x14ac:dyDescent="0.2">
      <c r="A98" s="81"/>
      <c r="B98" s="38" t="s">
        <v>86</v>
      </c>
      <c r="C98" s="35" t="s">
        <v>871</v>
      </c>
      <c r="D98" s="83"/>
      <c r="E98" s="29">
        <f>ROUND(Source!AF42,2)</f>
        <v>170.83</v>
      </c>
      <c r="F98" s="29">
        <f>ROUND(Source!AE42,2)</f>
        <v>1.61</v>
      </c>
      <c r="G98" s="85"/>
      <c r="H98" s="85"/>
      <c r="I98" s="30">
        <f>ROUND(Source!R42,0)</f>
        <v>2</v>
      </c>
      <c r="J98" s="28">
        <f>ROUND(Source!AI42,6)</f>
        <v>0.13500000000000001</v>
      </c>
      <c r="K98" s="31">
        <f>ROUND(Source!V42,6)</f>
        <v>0.12933</v>
      </c>
      <c r="L98" s="62"/>
    </row>
    <row r="99" spans="1:32" x14ac:dyDescent="0.2">
      <c r="A99" s="54"/>
      <c r="B99" s="54"/>
      <c r="C99" s="78" t="s">
        <v>877</v>
      </c>
      <c r="D99" s="78"/>
      <c r="E99" s="78"/>
      <c r="F99" s="78"/>
      <c r="G99" s="78"/>
      <c r="H99" s="78"/>
      <c r="I99" s="78"/>
      <c r="J99" s="78"/>
      <c r="K99" s="78"/>
      <c r="L99" s="62"/>
    </row>
    <row r="100" spans="1:32" x14ac:dyDescent="0.2">
      <c r="A100" s="54"/>
      <c r="B100" s="54"/>
      <c r="C100" s="78" t="s">
        <v>878</v>
      </c>
      <c r="D100" s="78"/>
      <c r="E100" s="78"/>
      <c r="F100" s="78"/>
      <c r="G100" s="78"/>
      <c r="H100" s="78"/>
      <c r="I100" s="78"/>
      <c r="J100" s="78"/>
      <c r="K100" s="78"/>
      <c r="L100" s="62"/>
    </row>
    <row r="101" spans="1:32" x14ac:dyDescent="0.2">
      <c r="A101" s="54"/>
      <c r="B101" s="54"/>
      <c r="C101" s="79" t="s">
        <v>879</v>
      </c>
      <c r="D101" s="78"/>
      <c r="E101" s="78"/>
      <c r="F101" s="78"/>
      <c r="G101" s="78"/>
      <c r="H101" s="78"/>
      <c r="I101" s="78"/>
      <c r="J101" s="78"/>
      <c r="K101" s="78"/>
      <c r="L101" s="62"/>
    </row>
    <row r="102" spans="1:32" ht="72" x14ac:dyDescent="0.2">
      <c r="A102" s="54"/>
      <c r="B102" s="54"/>
      <c r="C102" s="78" t="str">
        <f>Source!CN42</f>
        <v>Поправка: М-ка 421/пр 04.08.20 п.58 п.п. б)  Наименование: При отсутствии необходимых норм (единичных расценок), включенных в сборники ГЭСНр (ФЕРр, ТЕРр), сметные затраты на работы по капитальному ремонту и реконструкции объектов капитального строительства могут быть определены по сметным нормам, включенным в ГЭСН (ФЕР, ТЕР), аналогичным технологическим процессам в новом строительстве, в том числе по возведению новых конструктивных элементов  Поправка: Мет.421/пр 04.08.20 Пр.10 Т.3 п. 1.1  Наименование: Производство ремонтно-строительных работ осуществляется в помещениях эксплуатируемого объекта капитального строительства без остановки рабочего процесса, при этом: в зоне производства ремонтно-строительных работ отсутствуют действующее технологическое или лабораторное оборудование, мебель и иные загромождающие помещения предметы</v>
      </c>
      <c r="D102" s="78"/>
      <c r="E102" s="78"/>
      <c r="F102" s="78"/>
      <c r="G102" s="78"/>
      <c r="H102" s="78"/>
      <c r="I102" s="78"/>
      <c r="J102" s="78"/>
      <c r="K102" s="78"/>
      <c r="L102" s="62"/>
      <c r="AF102" s="33" t="str">
        <f>Source!CN42</f>
        <v>Поправка: М-ка 421/пр 04.08.20 п.58 п.п. б)  Наименование: При отсутствии необходимых норм (единичных расценок), включенных в сборники ГЭСНр (ФЕРр, ТЕРр), сметные затраты на работы по капитальному ремонту и реконструкции объектов капитального строительства могут быть определены по сметным нормам, включенным в ГЭСН (ФЕР, ТЕР), аналогичным технологическим процессам в новом строительстве, в том числе по возведению новых конструктивных элементов  Поправка: Мет.421/пр 04.08.20 Пр.10 Т.3 п. 1.1  Наименование: Производство ремонтно-строительных работ осуществляется в помещениях эксплуатируемого объекта капитального строительства без остановки рабочего процесса, при этом: в зоне производства ремонтно-строительных работ отсутствуют действующее технологическое или лабораторное оборудование, мебель и иные загромождающие помещения предметы</v>
      </c>
    </row>
    <row r="103" spans="1:32" x14ac:dyDescent="0.2">
      <c r="A103" s="73"/>
      <c r="B103" s="74"/>
      <c r="C103" s="74"/>
      <c r="D103" s="74"/>
      <c r="E103" s="74"/>
      <c r="F103" s="74"/>
      <c r="G103" s="74"/>
      <c r="H103" s="74"/>
      <c r="I103" s="74"/>
      <c r="J103" s="74"/>
      <c r="K103" s="75"/>
      <c r="L103" s="62"/>
    </row>
    <row r="104" spans="1:32" ht="36" x14ac:dyDescent="0.2">
      <c r="A104" s="80" t="str">
        <f>Source!E43</f>
        <v>16</v>
      </c>
      <c r="B104" s="32" t="s">
        <v>851</v>
      </c>
      <c r="C104" s="33" t="str">
        <f>CONCATENATE(Source!G43, ", ",Source!DW43)</f>
        <v>Краска водоэмульсионная для внутренних работ ВАК-10, т</v>
      </c>
      <c r="D104" s="82">
        <f>ROUND(Source!I43,6)</f>
        <v>4.9815999999999999E-2</v>
      </c>
      <c r="E104" s="29">
        <f>ROUND(Source!AC43,2)</f>
        <v>14837.58</v>
      </c>
      <c r="F104" s="28"/>
      <c r="G104" s="30">
        <f>ROUND(Source!O43,0)</f>
        <v>739</v>
      </c>
      <c r="H104" s="82"/>
      <c r="I104" s="28"/>
      <c r="J104" s="28"/>
      <c r="K104" s="28"/>
      <c r="L104" s="62"/>
      <c r="T104">
        <f>Source!O43</f>
        <v>739</v>
      </c>
      <c r="U104">
        <f>Source!P43</f>
        <v>739</v>
      </c>
      <c r="V104">
        <f>Source!S43</f>
        <v>0</v>
      </c>
      <c r="W104">
        <f>Source!Q43</f>
        <v>0</v>
      </c>
      <c r="X104">
        <f>Source!R43</f>
        <v>0</v>
      </c>
      <c r="Y104">
        <f>Source!U43</f>
        <v>0</v>
      </c>
      <c r="Z104">
        <f>Source!V43</f>
        <v>0</v>
      </c>
      <c r="AA104">
        <f>Source!X43</f>
        <v>0</v>
      </c>
      <c r="AB104">
        <f>Source!Y43</f>
        <v>0</v>
      </c>
    </row>
    <row r="105" spans="1:32" x14ac:dyDescent="0.2">
      <c r="A105" s="81"/>
      <c r="B105" s="34"/>
      <c r="C105" s="35" t="s">
        <v>880</v>
      </c>
      <c r="D105" s="83"/>
      <c r="E105" s="36"/>
      <c r="F105" s="28"/>
      <c r="G105" s="37"/>
      <c r="H105" s="83"/>
      <c r="I105" s="28"/>
      <c r="J105" s="28"/>
      <c r="K105" s="28"/>
      <c r="L105" s="62"/>
    </row>
    <row r="106" spans="1:32" x14ac:dyDescent="0.2">
      <c r="A106" s="73"/>
      <c r="B106" s="74"/>
      <c r="C106" s="74"/>
      <c r="D106" s="74"/>
      <c r="E106" s="74"/>
      <c r="F106" s="74"/>
      <c r="G106" s="74"/>
      <c r="H106" s="74"/>
      <c r="I106" s="74"/>
      <c r="J106" s="74"/>
      <c r="K106" s="75"/>
      <c r="L106" s="62"/>
    </row>
    <row r="107" spans="1:32" ht="36" x14ac:dyDescent="0.2">
      <c r="A107" s="80" t="str">
        <f>Source!E44</f>
        <v>17</v>
      </c>
      <c r="B107" s="32" t="s">
        <v>881</v>
      </c>
      <c r="C107" s="33" t="str">
        <f>CONCATENATE(Source!G44, ", ",Source!DW44)</f>
        <v>Разборка воздуховодов из листовой стали толщиной: до 0,9 мм диаметром/периметром до 165 мм /540 мм, 100 м2</v>
      </c>
      <c r="D107" s="82">
        <f>ROUND(Source!I44,6)</f>
        <v>0.114</v>
      </c>
      <c r="E107" s="29">
        <f>ROUND(Source!AB44,2)</f>
        <v>370.62</v>
      </c>
      <c r="F107" s="29">
        <f>ROUND(Source!AD44,2)</f>
        <v>23.45</v>
      </c>
      <c r="G107" s="84">
        <f>ROUND(Source!O44,0)</f>
        <v>43</v>
      </c>
      <c r="H107" s="84">
        <f>ROUND(Source!S44,0)</f>
        <v>40</v>
      </c>
      <c r="I107" s="30">
        <f>ROUND(Source!Q44,0)</f>
        <v>3</v>
      </c>
      <c r="J107" s="28">
        <f>ROUND(Source!AH44,6)</f>
        <v>40.700000000000003</v>
      </c>
      <c r="K107" s="31">
        <f>ROUND(Source!U44,6)</f>
        <v>4.6398000000000001</v>
      </c>
      <c r="L107" s="62"/>
      <c r="T107">
        <f>Source!O44</f>
        <v>43</v>
      </c>
      <c r="U107">
        <f>Source!P44</f>
        <v>0</v>
      </c>
      <c r="V107">
        <f>Source!S44</f>
        <v>40</v>
      </c>
      <c r="W107">
        <f>Source!Q44</f>
        <v>3</v>
      </c>
      <c r="X107">
        <f>Source!R44</f>
        <v>1</v>
      </c>
      <c r="Y107">
        <f>Source!U44</f>
        <v>4.6398000000000001</v>
      </c>
      <c r="Z107">
        <f>Source!V44</f>
        <v>8.5500000000000007E-2</v>
      </c>
      <c r="AA107">
        <f>Source!X44</f>
        <v>36</v>
      </c>
      <c r="AB107">
        <f>Source!Y44</f>
        <v>18</v>
      </c>
    </row>
    <row r="108" spans="1:32" ht="36" x14ac:dyDescent="0.2">
      <c r="A108" s="81"/>
      <c r="B108" s="38" t="s">
        <v>107</v>
      </c>
      <c r="C108" s="35" t="s">
        <v>882</v>
      </c>
      <c r="D108" s="83"/>
      <c r="E108" s="29">
        <f>ROUND(Source!AF44,2)</f>
        <v>347.17</v>
      </c>
      <c r="F108" s="29">
        <f>ROUND(Source!AE44,2)</f>
        <v>10.130000000000001</v>
      </c>
      <c r="G108" s="85"/>
      <c r="H108" s="85"/>
      <c r="I108" s="30">
        <f>ROUND(Source!R44,0)</f>
        <v>1</v>
      </c>
      <c r="J108" s="28">
        <f>ROUND(Source!AI44,6)</f>
        <v>0.75</v>
      </c>
      <c r="K108" s="31">
        <f>ROUND(Source!V44,6)</f>
        <v>8.5500000000000007E-2</v>
      </c>
      <c r="L108" s="62"/>
    </row>
    <row r="109" spans="1:32" x14ac:dyDescent="0.2">
      <c r="A109" s="54"/>
      <c r="B109" s="54"/>
      <c r="C109" s="78" t="s">
        <v>883</v>
      </c>
      <c r="D109" s="78"/>
      <c r="E109" s="78"/>
      <c r="F109" s="78"/>
      <c r="G109" s="78"/>
      <c r="H109" s="78"/>
      <c r="I109" s="78"/>
      <c r="J109" s="78"/>
      <c r="K109" s="78"/>
      <c r="L109" s="62"/>
    </row>
    <row r="110" spans="1:32" x14ac:dyDescent="0.2">
      <c r="A110" s="54"/>
      <c r="B110" s="54"/>
      <c r="C110" s="78" t="s">
        <v>884</v>
      </c>
      <c r="D110" s="78"/>
      <c r="E110" s="78"/>
      <c r="F110" s="78"/>
      <c r="G110" s="78"/>
      <c r="H110" s="78"/>
      <c r="I110" s="78"/>
      <c r="J110" s="78"/>
      <c r="K110" s="78"/>
      <c r="L110" s="62"/>
    </row>
    <row r="111" spans="1:32" x14ac:dyDescent="0.2">
      <c r="A111" s="54"/>
      <c r="B111" s="54"/>
      <c r="C111" s="79" t="s">
        <v>885</v>
      </c>
      <c r="D111" s="78"/>
      <c r="E111" s="78"/>
      <c r="F111" s="78"/>
      <c r="G111" s="78"/>
      <c r="H111" s="78"/>
      <c r="I111" s="78"/>
      <c r="J111" s="78"/>
      <c r="K111" s="78"/>
      <c r="L111" s="62"/>
    </row>
    <row r="112" spans="1:32" x14ac:dyDescent="0.2">
      <c r="A112" s="54"/>
      <c r="B112" s="54"/>
      <c r="C112" s="78" t="str">
        <f>Source!CN44</f>
        <v>Поправка: Сб.№65, п.1.65.3.1  Наименование: При выполнении работ с передвижных подмостей и лестниц на высоте от 3м до 5м от пола</v>
      </c>
      <c r="D112" s="78"/>
      <c r="E112" s="78"/>
      <c r="F112" s="78"/>
      <c r="G112" s="78"/>
      <c r="H112" s="78"/>
      <c r="I112" s="78"/>
      <c r="J112" s="78"/>
      <c r="K112" s="78"/>
      <c r="L112" s="62"/>
      <c r="AF112" s="33" t="str">
        <f>Source!CN44</f>
        <v>Поправка: Сб.№65, п.1.65.3.1  Наименование: При выполнении работ с передвижных подмостей и лестниц на высоте от 3м до 5м от пола</v>
      </c>
    </row>
    <row r="113" spans="1:32" x14ac:dyDescent="0.2">
      <c r="A113" s="73"/>
      <c r="B113" s="74"/>
      <c r="C113" s="74"/>
      <c r="D113" s="74"/>
      <c r="E113" s="74"/>
      <c r="F113" s="74"/>
      <c r="G113" s="74"/>
      <c r="H113" s="74"/>
      <c r="I113" s="74"/>
      <c r="J113" s="74"/>
      <c r="K113" s="75"/>
      <c r="L113" s="62"/>
    </row>
    <row r="114" spans="1:32" ht="48" x14ac:dyDescent="0.2">
      <c r="A114" s="80" t="str">
        <f>Source!E45</f>
        <v>18</v>
      </c>
      <c r="B114" s="32" t="s">
        <v>886</v>
      </c>
      <c r="C114" s="33" t="str">
        <f>CONCATENATE(Source!G45, ", ",Source!DW45)</f>
        <v>Прокладка воздуховодов из листовой, оцинкованной стали и алюминия класса Н (нормальные) толщиной 0,5 мм, диаметром до 200 мм, 100 м2</v>
      </c>
      <c r="D114" s="82">
        <f>ROUND(Source!I45,6)</f>
        <v>0.114</v>
      </c>
      <c r="E114" s="29">
        <f>ROUND(Source!AB45,2)</f>
        <v>2649.13</v>
      </c>
      <c r="F114" s="29">
        <f>ROUND(Source!AD45,2)</f>
        <v>189.88</v>
      </c>
      <c r="G114" s="84">
        <f>ROUND(Source!O45,0)</f>
        <v>303</v>
      </c>
      <c r="H114" s="84">
        <f>ROUND(Source!S45,0)</f>
        <v>231</v>
      </c>
      <c r="I114" s="30">
        <f>ROUND(Source!Q45,0)</f>
        <v>22</v>
      </c>
      <c r="J114" s="28">
        <f>ROUND(Source!AH45,6)</f>
        <v>231.64680000000001</v>
      </c>
      <c r="K114" s="31">
        <f>ROUND(Source!U45,6)</f>
        <v>26.407734999999999</v>
      </c>
      <c r="L114" s="62"/>
      <c r="T114">
        <f>Source!O45</f>
        <v>303</v>
      </c>
      <c r="U114">
        <f>Source!P45</f>
        <v>50</v>
      </c>
      <c r="V114">
        <f>Source!S45</f>
        <v>231</v>
      </c>
      <c r="W114">
        <f>Source!Q45</f>
        <v>22</v>
      </c>
      <c r="X114">
        <f>Source!R45</f>
        <v>3</v>
      </c>
      <c r="Y114">
        <f>Source!U45</f>
        <v>26.407735199999998</v>
      </c>
      <c r="Z114">
        <f>Source!V45</f>
        <v>0.2223</v>
      </c>
      <c r="AA114">
        <f>Source!X45</f>
        <v>285</v>
      </c>
      <c r="AB114">
        <f>Source!Y45</f>
        <v>165</v>
      </c>
    </row>
    <row r="115" spans="1:32" ht="108" x14ac:dyDescent="0.2">
      <c r="A115" s="81"/>
      <c r="B115" s="38" t="s">
        <v>86</v>
      </c>
      <c r="C115" s="35" t="s">
        <v>882</v>
      </c>
      <c r="D115" s="83"/>
      <c r="E115" s="29">
        <f>ROUND(Source!AF45,2)</f>
        <v>2024.6</v>
      </c>
      <c r="F115" s="29">
        <f>ROUND(Source!AE45,2)</f>
        <v>24.11</v>
      </c>
      <c r="G115" s="85"/>
      <c r="H115" s="85"/>
      <c r="I115" s="30">
        <f>ROUND(Source!R45,0)</f>
        <v>3</v>
      </c>
      <c r="J115" s="28">
        <f>ROUND(Source!AI45,6)</f>
        <v>1.95</v>
      </c>
      <c r="K115" s="31">
        <f>ROUND(Source!V45,6)</f>
        <v>0.2223</v>
      </c>
      <c r="L115" s="62"/>
    </row>
    <row r="116" spans="1:32" x14ac:dyDescent="0.2">
      <c r="A116" s="54"/>
      <c r="B116" s="54"/>
      <c r="C116" s="78" t="s">
        <v>887</v>
      </c>
      <c r="D116" s="78"/>
      <c r="E116" s="78"/>
      <c r="F116" s="78"/>
      <c r="G116" s="78"/>
      <c r="H116" s="78"/>
      <c r="I116" s="78"/>
      <c r="J116" s="78"/>
      <c r="K116" s="78"/>
      <c r="L116" s="62"/>
    </row>
    <row r="117" spans="1:32" x14ac:dyDescent="0.2">
      <c r="A117" s="54"/>
      <c r="B117" s="54"/>
      <c r="C117" s="78" t="s">
        <v>888</v>
      </c>
      <c r="D117" s="78"/>
      <c r="E117" s="78"/>
      <c r="F117" s="78"/>
      <c r="G117" s="78"/>
      <c r="H117" s="78"/>
      <c r="I117" s="78"/>
      <c r="J117" s="78"/>
      <c r="K117" s="78"/>
      <c r="L117" s="62"/>
    </row>
    <row r="118" spans="1:32" x14ac:dyDescent="0.2">
      <c r="A118" s="54"/>
      <c r="B118" s="54"/>
      <c r="C118" s="79" t="s">
        <v>889</v>
      </c>
      <c r="D118" s="78"/>
      <c r="E118" s="78"/>
      <c r="F118" s="78"/>
      <c r="G118" s="78"/>
      <c r="H118" s="78"/>
      <c r="I118" s="78"/>
      <c r="J118" s="78"/>
      <c r="K118" s="78"/>
      <c r="L118" s="62"/>
    </row>
    <row r="119" spans="1:32" ht="72" x14ac:dyDescent="0.2">
      <c r="A119" s="54"/>
      <c r="B119" s="54"/>
      <c r="C119" s="78" t="str">
        <f>Source!CN45</f>
        <v>Поправка: М-ка 421/пр 04.08.20 п.58 п.п. б)  Наименование: При отсутствии необходимых норм (единичных расценок), включенных в сборники ГЭСНр (ФЕРр, ТЕРр), сметные затраты на работы по капитальному ремонту и реконструкции объектов капитального строительства могут быть определены по сметным нормам, включенным в ГЭСН (ФЕР, ТЕР), аналогичным технологическим процессам в новом строительстве, в том числе по возведению новых конструктивных элементов  Поправка: Мет.421/пр 04.08.20 Пр.10 Т.3 п. 1.1  Наименование: Производство ремонтно-строительных работ осуществляется в помещениях эксплуатируемого объекта капитального строительства без остановки рабочего процесса, при этом: в зоне производства ремонтно-строительных работ отсутствуют действующее технологическое или лабораторное оборудование, мебель и иные загромождающие помещения предметы</v>
      </c>
      <c r="D119" s="78"/>
      <c r="E119" s="78"/>
      <c r="F119" s="78"/>
      <c r="G119" s="78"/>
      <c r="H119" s="78"/>
      <c r="I119" s="78"/>
      <c r="J119" s="78"/>
      <c r="K119" s="78"/>
      <c r="L119" s="62"/>
      <c r="AF119" s="33" t="str">
        <f>Source!CN45</f>
        <v>Поправка: М-ка 421/пр 04.08.20 п.58 п.п. б)  Наименование: При отсутствии необходимых норм (единичных расценок), включенных в сборники ГЭСНр (ФЕРр, ТЕРр), сметные затраты на работы по капитальному ремонту и реконструкции объектов капитального строительства могут быть определены по сметным нормам, включенным в ГЭСН (ФЕР, ТЕР), аналогичным технологическим процессам в новом строительстве, в том числе по возведению новых конструктивных элементов  Поправка: Мет.421/пр 04.08.20 Пр.10 Т.3 п. 1.1  Наименование: Производство ремонтно-строительных работ осуществляется в помещениях эксплуатируемого объекта капитального строительства без остановки рабочего процесса, при этом: в зоне производства ремонтно-строительных работ отсутствуют действующее технологическое или лабораторное оборудование, мебель и иные загромождающие помещения предметы</v>
      </c>
    </row>
    <row r="120" spans="1:32" x14ac:dyDescent="0.2">
      <c r="A120" s="73"/>
      <c r="B120" s="74"/>
      <c r="C120" s="74"/>
      <c r="D120" s="74"/>
      <c r="E120" s="74"/>
      <c r="F120" s="74"/>
      <c r="G120" s="74"/>
      <c r="H120" s="74"/>
      <c r="I120" s="74"/>
      <c r="J120" s="74"/>
      <c r="K120" s="75"/>
      <c r="L120" s="62"/>
    </row>
    <row r="121" spans="1:32" ht="36" x14ac:dyDescent="0.2">
      <c r="A121" s="80" t="str">
        <f>Source!E46</f>
        <v>19</v>
      </c>
      <c r="B121" s="32" t="s">
        <v>890</v>
      </c>
      <c r="C121" s="33" t="str">
        <f>CONCATENATE(Source!G46, ", ",Source!DW46)</f>
        <v>Воздуховоды из листовой стали толщиной 0,5 мм, диаметр до 200 мм, м2</v>
      </c>
      <c r="D121" s="82">
        <f>ROUND(Source!I46,6)</f>
        <v>11.775</v>
      </c>
      <c r="E121" s="29">
        <f>ROUND(Source!AC46,2)</f>
        <v>76.989999999999995</v>
      </c>
      <c r="F121" s="28"/>
      <c r="G121" s="30">
        <f>ROUND(Source!O46,0)</f>
        <v>907</v>
      </c>
      <c r="H121" s="82"/>
      <c r="I121" s="28"/>
      <c r="J121" s="28"/>
      <c r="K121" s="28"/>
      <c r="L121" s="62"/>
      <c r="T121">
        <f>Source!O46</f>
        <v>907</v>
      </c>
      <c r="U121">
        <f>Source!P46</f>
        <v>907</v>
      </c>
      <c r="V121">
        <f>Source!S46</f>
        <v>0</v>
      </c>
      <c r="W121">
        <f>Source!Q46</f>
        <v>0</v>
      </c>
      <c r="X121">
        <f>Source!R46</f>
        <v>0</v>
      </c>
      <c r="Y121">
        <f>Source!U46</f>
        <v>0</v>
      </c>
      <c r="Z121">
        <f>Source!V46</f>
        <v>0</v>
      </c>
      <c r="AA121">
        <f>Source!X46</f>
        <v>0</v>
      </c>
      <c r="AB121">
        <f>Source!Y46</f>
        <v>0</v>
      </c>
    </row>
    <row r="122" spans="1:32" x14ac:dyDescent="0.2">
      <c r="A122" s="81"/>
      <c r="B122" s="34"/>
      <c r="C122" s="35"/>
      <c r="D122" s="83"/>
      <c r="E122" s="36"/>
      <c r="F122" s="28"/>
      <c r="G122" s="37"/>
      <c r="H122" s="83"/>
      <c r="I122" s="28"/>
      <c r="J122" s="28"/>
      <c r="K122" s="28"/>
      <c r="L122" s="62"/>
    </row>
    <row r="123" spans="1:32" x14ac:dyDescent="0.2">
      <c r="A123" s="73"/>
      <c r="B123" s="74"/>
      <c r="C123" s="74"/>
      <c r="D123" s="74"/>
      <c r="E123" s="74"/>
      <c r="F123" s="74"/>
      <c r="G123" s="74"/>
      <c r="H123" s="74"/>
      <c r="I123" s="74"/>
      <c r="J123" s="74"/>
      <c r="K123" s="75"/>
      <c r="L123" s="62"/>
    </row>
    <row r="124" spans="1:32" x14ac:dyDescent="0.2">
      <c r="A124" s="86" t="str">
        <f>CONCATENATE( "Раздел ",IF(Source!C12="1", Source!F78, Source!G78))</f>
        <v>Раздел Помещение задвижек пожаротушения</v>
      </c>
      <c r="B124" s="86"/>
      <c r="C124" s="86"/>
      <c r="D124" s="86"/>
      <c r="E124" s="86"/>
      <c r="F124" s="86"/>
      <c r="G124" s="86"/>
      <c r="H124" s="86"/>
      <c r="I124" s="86"/>
      <c r="J124" s="86"/>
      <c r="K124" s="86"/>
      <c r="L124" s="62"/>
    </row>
    <row r="125" spans="1:32" ht="60" x14ac:dyDescent="0.2">
      <c r="A125" s="80" t="str">
        <f>Source!E82</f>
        <v>20</v>
      </c>
      <c r="B125" s="32" t="s">
        <v>891</v>
      </c>
      <c r="C125" s="33" t="str">
        <f>CONCATENATE(Source!G82, ", ",Source!DW82)</f>
        <v>Окрашивание водоэмульсионными составами поверхностей потолков, ранее окрашенных: известковой или клеевой краской, с расчисткой старой краски свыше 10 до 35%, 100 м2</v>
      </c>
      <c r="D125" s="82">
        <f>ROUND(Source!I82,6)</f>
        <v>0.23039999999999999</v>
      </c>
      <c r="E125" s="29">
        <f>ROUND(Source!AB82,2)</f>
        <v>493.8</v>
      </c>
      <c r="F125" s="29">
        <f>ROUND(Source!AD82,2)</f>
        <v>8.1300000000000008</v>
      </c>
      <c r="G125" s="84">
        <f>ROUND(Source!O82,0)</f>
        <v>114</v>
      </c>
      <c r="H125" s="84">
        <f>ROUND(Source!S82,0)</f>
        <v>69</v>
      </c>
      <c r="I125" s="30">
        <f>ROUND(Source!Q82,0)</f>
        <v>2</v>
      </c>
      <c r="J125" s="28">
        <f>ROUND(Source!AH82,6)</f>
        <v>34.615000000000002</v>
      </c>
      <c r="K125" s="31">
        <f>ROUND(Source!U82,6)</f>
        <v>7.9752960000000002</v>
      </c>
      <c r="L125" s="62"/>
      <c r="T125">
        <f>Source!O82</f>
        <v>114</v>
      </c>
      <c r="U125">
        <f>Source!P82</f>
        <v>43</v>
      </c>
      <c r="V125">
        <f>Source!S82</f>
        <v>69</v>
      </c>
      <c r="W125">
        <f>Source!Q82</f>
        <v>2</v>
      </c>
      <c r="X125">
        <f>Source!R82</f>
        <v>1</v>
      </c>
      <c r="Y125">
        <f>Source!U82</f>
        <v>7.9752960000000002</v>
      </c>
      <c r="Z125">
        <f>Source!V82</f>
        <v>4.2393599999999997E-2</v>
      </c>
      <c r="AA125">
        <f>Source!X82</f>
        <v>64</v>
      </c>
      <c r="AB125">
        <f>Source!Y82</f>
        <v>32</v>
      </c>
    </row>
    <row r="126" spans="1:32" ht="84" x14ac:dyDescent="0.2">
      <c r="A126" s="81"/>
      <c r="B126" s="38" t="s">
        <v>182</v>
      </c>
      <c r="C126" s="35" t="s">
        <v>892</v>
      </c>
      <c r="D126" s="83"/>
      <c r="E126" s="29">
        <f>ROUND(Source!AF82,2)</f>
        <v>299.07</v>
      </c>
      <c r="F126" s="29">
        <f>ROUND(Source!AE82,2)</f>
        <v>2.36</v>
      </c>
      <c r="G126" s="85"/>
      <c r="H126" s="85"/>
      <c r="I126" s="30">
        <f>ROUND(Source!R82,0)</f>
        <v>1</v>
      </c>
      <c r="J126" s="28">
        <f>ROUND(Source!AI82,6)</f>
        <v>0.184</v>
      </c>
      <c r="K126" s="31">
        <f>ROUND(Source!V82,6)</f>
        <v>4.2394000000000001E-2</v>
      </c>
      <c r="L126" s="62"/>
    </row>
    <row r="127" spans="1:32" x14ac:dyDescent="0.2">
      <c r="A127" s="54"/>
      <c r="B127" s="54"/>
      <c r="C127" s="78" t="s">
        <v>893</v>
      </c>
      <c r="D127" s="78"/>
      <c r="E127" s="78"/>
      <c r="F127" s="78"/>
      <c r="G127" s="78"/>
      <c r="H127" s="78"/>
      <c r="I127" s="78"/>
      <c r="J127" s="78"/>
      <c r="K127" s="78"/>
      <c r="L127" s="62"/>
    </row>
    <row r="128" spans="1:32" x14ac:dyDescent="0.2">
      <c r="A128" s="54"/>
      <c r="B128" s="54"/>
      <c r="C128" s="78" t="s">
        <v>894</v>
      </c>
      <c r="D128" s="78"/>
      <c r="E128" s="78"/>
      <c r="F128" s="78"/>
      <c r="G128" s="78"/>
      <c r="H128" s="78"/>
      <c r="I128" s="78"/>
      <c r="J128" s="78"/>
      <c r="K128" s="78"/>
      <c r="L128" s="62"/>
    </row>
    <row r="129" spans="1:32" x14ac:dyDescent="0.2">
      <c r="A129" s="54"/>
      <c r="B129" s="54"/>
      <c r="C129" s="79" t="s">
        <v>895</v>
      </c>
      <c r="D129" s="78"/>
      <c r="E129" s="78"/>
      <c r="F129" s="78"/>
      <c r="G129" s="78"/>
      <c r="H129" s="78"/>
      <c r="I129" s="78"/>
      <c r="J129" s="78"/>
      <c r="K129" s="78"/>
      <c r="L129" s="62"/>
    </row>
    <row r="130" spans="1:32" ht="48" x14ac:dyDescent="0.2">
      <c r="A130" s="54"/>
      <c r="B130" s="54"/>
      <c r="C130" s="78" t="str">
        <f>Source!CN82</f>
        <v>Поправка: Мет.421/пр 04.08.20 Пр.10 Т.3 п. 1.2  Наименование: Производство ремонтно-строительных работ осуществляется в помещениях эксплуатируемого объекта капитального строительства без остановки рабочего процесса, при этом: в зоне производства ремонтно-строительных работ имеются действующее технологическое или лабораторное оборудование, мебель и иные загромождающие помещения предметы  Поправка: Сб.№62, п.2.62.5.1  Наименование: Площадь окраски потолков определяется: ребристых перекрытий по площади их горизонтальной поверхности с коэффициентом 1,6</v>
      </c>
      <c r="D130" s="78"/>
      <c r="E130" s="78"/>
      <c r="F130" s="78"/>
      <c r="G130" s="78"/>
      <c r="H130" s="78"/>
      <c r="I130" s="78"/>
      <c r="J130" s="78"/>
      <c r="K130" s="78"/>
      <c r="L130" s="62"/>
      <c r="AF130" s="33" t="str">
        <f>Source!CN82</f>
        <v>Поправка: Мет.421/пр 04.08.20 Пр.10 Т.3 п. 1.2  Наименование: Производство ремонтно-строительных работ осуществляется в помещениях эксплуатируемого объекта капитального строительства без остановки рабочего процесса, при этом: в зоне производства ремонтно-строительных работ имеются действующее технологическое или лабораторное оборудование, мебель и иные загромождающие помещения предметы  Поправка: Сб.№62, п.2.62.5.1  Наименование: Площадь окраски потолков определяется: ребристых перекрытий по площади их горизонтальной поверхности с коэффициентом 1,6</v>
      </c>
    </row>
    <row r="131" spans="1:32" x14ac:dyDescent="0.2">
      <c r="A131" s="73"/>
      <c r="B131" s="74"/>
      <c r="C131" s="74"/>
      <c r="D131" s="74"/>
      <c r="E131" s="74"/>
      <c r="F131" s="74"/>
      <c r="G131" s="74"/>
      <c r="H131" s="74"/>
      <c r="I131" s="74"/>
      <c r="J131" s="74"/>
      <c r="K131" s="75"/>
      <c r="L131" s="62"/>
    </row>
    <row r="132" spans="1:32" ht="36" x14ac:dyDescent="0.2">
      <c r="A132" s="80" t="str">
        <f>Source!E83</f>
        <v>21</v>
      </c>
      <c r="B132" s="32" t="s">
        <v>851</v>
      </c>
      <c r="C132" s="33" t="str">
        <f>CONCATENATE(Source!G83, ", ",Source!DW83)</f>
        <v>Краска водоэмульсионная для внутренних работ ВАК-10, т</v>
      </c>
      <c r="D132" s="82">
        <f>ROUND(Source!I83,6)</f>
        <v>1.54E-2</v>
      </c>
      <c r="E132" s="29">
        <f>ROUND(Source!AC83,2)</f>
        <v>14837.58</v>
      </c>
      <c r="F132" s="28"/>
      <c r="G132" s="30">
        <f>ROUND(Source!O83,0)</f>
        <v>228</v>
      </c>
      <c r="H132" s="82"/>
      <c r="I132" s="28"/>
      <c r="J132" s="28"/>
      <c r="K132" s="28"/>
      <c r="L132" s="62"/>
      <c r="T132">
        <f>Source!O83</f>
        <v>228</v>
      </c>
      <c r="U132">
        <f>Source!P83</f>
        <v>228</v>
      </c>
      <c r="V132">
        <f>Source!S83</f>
        <v>0</v>
      </c>
      <c r="W132">
        <f>Source!Q83</f>
        <v>0</v>
      </c>
      <c r="X132">
        <f>Source!R83</f>
        <v>0</v>
      </c>
      <c r="Y132">
        <f>Source!U83</f>
        <v>0</v>
      </c>
      <c r="Z132">
        <f>Source!V83</f>
        <v>0</v>
      </c>
      <c r="AA132">
        <f>Source!X83</f>
        <v>0</v>
      </c>
      <c r="AB132">
        <f>Source!Y83</f>
        <v>0</v>
      </c>
    </row>
    <row r="133" spans="1:32" x14ac:dyDescent="0.2">
      <c r="A133" s="81"/>
      <c r="B133" s="34"/>
      <c r="C133" s="35" t="s">
        <v>896</v>
      </c>
      <c r="D133" s="83"/>
      <c r="E133" s="36"/>
      <c r="F133" s="28"/>
      <c r="G133" s="37"/>
      <c r="H133" s="83"/>
      <c r="I133" s="28"/>
      <c r="J133" s="28"/>
      <c r="K133" s="28"/>
      <c r="L133" s="62"/>
    </row>
    <row r="134" spans="1:32" x14ac:dyDescent="0.2">
      <c r="A134" s="73"/>
      <c r="B134" s="74"/>
      <c r="C134" s="74"/>
      <c r="D134" s="74"/>
      <c r="E134" s="74"/>
      <c r="F134" s="74"/>
      <c r="G134" s="74"/>
      <c r="H134" s="74"/>
      <c r="I134" s="74"/>
      <c r="J134" s="74"/>
      <c r="K134" s="75"/>
      <c r="L134" s="62"/>
    </row>
    <row r="135" spans="1:32" ht="24" x14ac:dyDescent="0.2">
      <c r="A135" s="80" t="str">
        <f>Source!E84</f>
        <v>22</v>
      </c>
      <c r="B135" s="32" t="s">
        <v>897</v>
      </c>
      <c r="C135" s="33" t="str">
        <f>CONCATENATE(Source!G84, ", ",Source!DW84)</f>
        <v>Смена внутренних трубопроводов из стальных труб диаметром: до 15 мм, 100 м</v>
      </c>
      <c r="D135" s="82">
        <f>ROUND(Source!I84,6)</f>
        <v>0.12</v>
      </c>
      <c r="E135" s="29">
        <f>ROUND(Source!AB84,2)</f>
        <v>1058.5999999999999</v>
      </c>
      <c r="F135" s="29">
        <f>ROUND(Source!AD84,2)</f>
        <v>70.31</v>
      </c>
      <c r="G135" s="84">
        <f>ROUND(Source!O84,0)</f>
        <v>127</v>
      </c>
      <c r="H135" s="84">
        <f>ROUND(Source!S84,0)</f>
        <v>114</v>
      </c>
      <c r="I135" s="30">
        <f>ROUND(Source!Q84,0)</f>
        <v>8</v>
      </c>
      <c r="J135" s="28">
        <f>ROUND(Source!AH84,6)</f>
        <v>98.417000000000002</v>
      </c>
      <c r="K135" s="31">
        <f>ROUND(Source!U84,6)</f>
        <v>11.810040000000001</v>
      </c>
      <c r="L135" s="62"/>
      <c r="T135">
        <f>Source!O84</f>
        <v>127</v>
      </c>
      <c r="U135">
        <f>Source!P84</f>
        <v>5</v>
      </c>
      <c r="V135">
        <f>Source!S84</f>
        <v>114</v>
      </c>
      <c r="W135">
        <f>Source!Q84</f>
        <v>8</v>
      </c>
      <c r="X135">
        <f>Source!R84</f>
        <v>1</v>
      </c>
      <c r="Y135">
        <f>Source!U84</f>
        <v>11.810039999999997</v>
      </c>
      <c r="Z135">
        <f>Source!V84</f>
        <v>5.7959999999999991E-2</v>
      </c>
      <c r="AA135">
        <f>Source!X84</f>
        <v>120</v>
      </c>
      <c r="AB135">
        <f>Source!Y84</f>
        <v>60</v>
      </c>
    </row>
    <row r="136" spans="1:32" ht="96" x14ac:dyDescent="0.2">
      <c r="A136" s="81"/>
      <c r="B136" s="38" t="s">
        <v>191</v>
      </c>
      <c r="C136" s="35" t="s">
        <v>898</v>
      </c>
      <c r="D136" s="83"/>
      <c r="E136" s="29">
        <f>ROUND(Source!AF84,2)</f>
        <v>946.78</v>
      </c>
      <c r="F136" s="29">
        <f>ROUND(Source!AE84,2)</f>
        <v>6.07</v>
      </c>
      <c r="G136" s="85"/>
      <c r="H136" s="85"/>
      <c r="I136" s="30">
        <f>ROUND(Source!R84,0)</f>
        <v>1</v>
      </c>
      <c r="J136" s="28">
        <f>ROUND(Source!AI84,6)</f>
        <v>0.48299999999999998</v>
      </c>
      <c r="K136" s="31">
        <f>ROUND(Source!V84,6)</f>
        <v>5.7959999999999998E-2</v>
      </c>
      <c r="L136" s="62"/>
    </row>
    <row r="137" spans="1:32" x14ac:dyDescent="0.2">
      <c r="A137" s="54"/>
      <c r="B137" s="54"/>
      <c r="C137" s="78" t="s">
        <v>899</v>
      </c>
      <c r="D137" s="78"/>
      <c r="E137" s="78"/>
      <c r="F137" s="78"/>
      <c r="G137" s="78"/>
      <c r="H137" s="78"/>
      <c r="I137" s="78"/>
      <c r="J137" s="78"/>
      <c r="K137" s="78"/>
      <c r="L137" s="62"/>
    </row>
    <row r="138" spans="1:32" x14ac:dyDescent="0.2">
      <c r="A138" s="54"/>
      <c r="B138" s="54"/>
      <c r="C138" s="78" t="s">
        <v>900</v>
      </c>
      <c r="D138" s="78"/>
      <c r="E138" s="78"/>
      <c r="F138" s="78"/>
      <c r="G138" s="78"/>
      <c r="H138" s="78"/>
      <c r="I138" s="78"/>
      <c r="J138" s="78"/>
      <c r="K138" s="78"/>
      <c r="L138" s="62"/>
    </row>
    <row r="139" spans="1:32" x14ac:dyDescent="0.2">
      <c r="A139" s="54"/>
      <c r="B139" s="54"/>
      <c r="C139" s="79" t="s">
        <v>901</v>
      </c>
      <c r="D139" s="78"/>
      <c r="E139" s="78"/>
      <c r="F139" s="78"/>
      <c r="G139" s="78"/>
      <c r="H139" s="78"/>
      <c r="I139" s="78"/>
      <c r="J139" s="78"/>
      <c r="K139" s="78"/>
      <c r="L139" s="62"/>
    </row>
    <row r="140" spans="1:32" ht="48" x14ac:dyDescent="0.2">
      <c r="A140" s="54"/>
      <c r="B140" s="54"/>
      <c r="C140" s="78" t="str">
        <f>Source!CN84</f>
        <v>Поправка: Сб.№65, п.1.65.3.1  Наименование: При выполнении работ с передвижных подмостей и лестниц на высоте от 3м до 5м от пола  Поправка: Мет.421/пр 04.08.20 Пр.10 Т.3 п. 1.2  Наименование: Производство ремонтно-строительных работ осуществляется в помещениях эксплуатируемого объекта капитального строительства без остановки рабочего процесса, при этом: в зоне производства ремонтно-строительных работ имеются действующее технологическое или лабораторное оборудование, мебель и иные загромождающие помещения предметы</v>
      </c>
      <c r="D140" s="78"/>
      <c r="E140" s="78"/>
      <c r="F140" s="78"/>
      <c r="G140" s="78"/>
      <c r="H140" s="78"/>
      <c r="I140" s="78"/>
      <c r="J140" s="78"/>
      <c r="K140" s="78"/>
      <c r="L140" s="62"/>
      <c r="AF140" s="33" t="str">
        <f>Source!CN84</f>
        <v>Поправка: Сб.№65, п.1.65.3.1  Наименование: При выполнении работ с передвижных подмостей и лестниц на высоте от 3м до 5м от пола  Поправка: Мет.421/пр 04.08.20 Пр.10 Т.3 п. 1.2  Наименование: Производство ремонтно-строительных работ осуществляется в помещениях эксплуатируемого объекта капитального строительства без остановки рабочего процесса, при этом: в зоне производства ремонтно-строительных работ имеются действующее технологическое или лабораторное оборудование, мебель и иные загромождающие помещения предметы</v>
      </c>
    </row>
    <row r="141" spans="1:32" x14ac:dyDescent="0.2">
      <c r="A141" s="73"/>
      <c r="B141" s="74"/>
      <c r="C141" s="74"/>
      <c r="D141" s="74"/>
      <c r="E141" s="74"/>
      <c r="F141" s="74"/>
      <c r="G141" s="74"/>
      <c r="H141" s="74"/>
      <c r="I141" s="74"/>
      <c r="J141" s="74"/>
      <c r="K141" s="75"/>
      <c r="L141" s="62"/>
    </row>
    <row r="142" spans="1:32" ht="36" x14ac:dyDescent="0.2">
      <c r="A142" s="80" t="str">
        <f>Source!E85</f>
        <v>23</v>
      </c>
      <c r="B142" s="32" t="s">
        <v>902</v>
      </c>
      <c r="C142" s="33" t="str">
        <f>CONCATENATE(Source!G85, ", ",Source!DW85)</f>
        <v>Узлы трубопроводов укрупненные монтажные из стальных водогазопроводных оцинкованных труб диаметром 15 мм, м</v>
      </c>
      <c r="D142" s="82">
        <f>ROUND(Source!I85,6)</f>
        <v>12</v>
      </c>
      <c r="E142" s="29">
        <f>ROUND(Source!AC85,2)</f>
        <v>28.25</v>
      </c>
      <c r="F142" s="28"/>
      <c r="G142" s="30">
        <f>ROUND(Source!O85,0)</f>
        <v>339</v>
      </c>
      <c r="H142" s="82"/>
      <c r="I142" s="28"/>
      <c r="J142" s="28"/>
      <c r="K142" s="28"/>
      <c r="L142" s="62"/>
      <c r="T142">
        <f>Source!O85</f>
        <v>339</v>
      </c>
      <c r="U142">
        <f>Source!P85</f>
        <v>339</v>
      </c>
      <c r="V142">
        <f>Source!S85</f>
        <v>0</v>
      </c>
      <c r="W142">
        <f>Source!Q85</f>
        <v>0</v>
      </c>
      <c r="X142">
        <f>Source!R85</f>
        <v>0</v>
      </c>
      <c r="Y142">
        <f>Source!U85</f>
        <v>0</v>
      </c>
      <c r="Z142">
        <f>Source!V85</f>
        <v>0</v>
      </c>
      <c r="AA142">
        <f>Source!X85</f>
        <v>0</v>
      </c>
      <c r="AB142">
        <f>Source!Y85</f>
        <v>0</v>
      </c>
    </row>
    <row r="143" spans="1:32" x14ac:dyDescent="0.2">
      <c r="A143" s="81"/>
      <c r="B143" s="34"/>
      <c r="C143" s="35"/>
      <c r="D143" s="83"/>
      <c r="E143" s="36"/>
      <c r="F143" s="28"/>
      <c r="G143" s="37"/>
      <c r="H143" s="83"/>
      <c r="I143" s="28"/>
      <c r="J143" s="28"/>
      <c r="K143" s="28"/>
      <c r="L143" s="62"/>
    </row>
    <row r="144" spans="1:32" x14ac:dyDescent="0.2">
      <c r="A144" s="73"/>
      <c r="B144" s="74"/>
      <c r="C144" s="74"/>
      <c r="D144" s="74"/>
      <c r="E144" s="74"/>
      <c r="F144" s="74"/>
      <c r="G144" s="74"/>
      <c r="H144" s="74"/>
      <c r="I144" s="74"/>
      <c r="J144" s="74"/>
      <c r="K144" s="75"/>
      <c r="L144" s="62"/>
    </row>
    <row r="145" spans="1:32" ht="48" x14ac:dyDescent="0.2">
      <c r="A145" s="80" t="str">
        <f>Source!E86</f>
        <v>24</v>
      </c>
      <c r="B145" s="32" t="s">
        <v>903</v>
      </c>
      <c r="C145" s="33" t="str">
        <f>CONCATENATE(Source!G86, ", ",Source!DW86)</f>
        <v>Установка вентилей, задвижек, затворов, клапанов обратных, кранов проходных на трубопроводах из стальных труб диаметром: до 25 мм, ШТ</v>
      </c>
      <c r="D145" s="82">
        <f>ROUND(Source!I86,6)</f>
        <v>2</v>
      </c>
      <c r="E145" s="29">
        <f>ROUND(Source!AB86,2)</f>
        <v>51.8</v>
      </c>
      <c r="F145" s="29">
        <f>ROUND(Source!AD86,2)</f>
        <v>5.9</v>
      </c>
      <c r="G145" s="84">
        <f>ROUND(Source!O86,0)</f>
        <v>103</v>
      </c>
      <c r="H145" s="84">
        <f>ROUND(Source!S86,0)</f>
        <v>41</v>
      </c>
      <c r="I145" s="30">
        <f>ROUND(Source!Q86,0)</f>
        <v>12</v>
      </c>
      <c r="J145" s="28">
        <f>ROUND(Source!AH86,6)</f>
        <v>2.2821750000000001</v>
      </c>
      <c r="K145" s="31">
        <f>ROUND(Source!U86,6)</f>
        <v>4.5643500000000001</v>
      </c>
      <c r="L145" s="62"/>
      <c r="T145">
        <f>Source!O86</f>
        <v>103</v>
      </c>
      <c r="U145">
        <f>Source!P86</f>
        <v>50</v>
      </c>
      <c r="V145">
        <f>Source!S86</f>
        <v>41</v>
      </c>
      <c r="W145">
        <f>Source!Q86</f>
        <v>12</v>
      </c>
      <c r="X145">
        <f>Source!R86</f>
        <v>0</v>
      </c>
      <c r="Y145">
        <f>Source!U86</f>
        <v>4.5643500000000001</v>
      </c>
      <c r="Z145">
        <f>Source!V86</f>
        <v>3.3750000000000002E-2</v>
      </c>
      <c r="AA145">
        <f>Source!X86</f>
        <v>50</v>
      </c>
      <c r="AB145">
        <f>Source!Y86</f>
        <v>25</v>
      </c>
    </row>
    <row r="146" spans="1:32" ht="108" x14ac:dyDescent="0.2">
      <c r="A146" s="81"/>
      <c r="B146" s="38" t="s">
        <v>206</v>
      </c>
      <c r="C146" s="35"/>
      <c r="D146" s="83"/>
      <c r="E146" s="29">
        <f>ROUND(Source!AF86,2)</f>
        <v>20.69</v>
      </c>
      <c r="F146" s="29">
        <f>ROUND(Source!AE86,2)</f>
        <v>0.2</v>
      </c>
      <c r="G146" s="85"/>
      <c r="H146" s="85"/>
      <c r="I146" s="30">
        <f>ROUND(Source!R86,0)</f>
        <v>0</v>
      </c>
      <c r="J146" s="28">
        <f>ROUND(Source!AI86,6)</f>
        <v>1.6875000000000001E-2</v>
      </c>
      <c r="K146" s="31">
        <f>ROUND(Source!V86,6)</f>
        <v>3.3750000000000002E-2</v>
      </c>
      <c r="L146" s="62"/>
    </row>
    <row r="147" spans="1:32" x14ac:dyDescent="0.2">
      <c r="A147" s="54"/>
      <c r="B147" s="54"/>
      <c r="C147" s="78" t="s">
        <v>904</v>
      </c>
      <c r="D147" s="78"/>
      <c r="E147" s="78"/>
      <c r="F147" s="78"/>
      <c r="G147" s="78"/>
      <c r="H147" s="78"/>
      <c r="I147" s="78"/>
      <c r="J147" s="78"/>
      <c r="K147" s="78"/>
      <c r="L147" s="62"/>
    </row>
    <row r="148" spans="1:32" x14ac:dyDescent="0.2">
      <c r="A148" s="54"/>
      <c r="B148" s="54"/>
      <c r="C148" s="78" t="s">
        <v>905</v>
      </c>
      <c r="D148" s="78"/>
      <c r="E148" s="78"/>
      <c r="F148" s="78"/>
      <c r="G148" s="78"/>
      <c r="H148" s="78"/>
      <c r="I148" s="78"/>
      <c r="J148" s="78"/>
      <c r="K148" s="78"/>
      <c r="L148" s="62"/>
    </row>
    <row r="149" spans="1:32" x14ac:dyDescent="0.2">
      <c r="A149" s="54"/>
      <c r="B149" s="54"/>
      <c r="C149" s="79" t="s">
        <v>906</v>
      </c>
      <c r="D149" s="78"/>
      <c r="E149" s="78"/>
      <c r="F149" s="78"/>
      <c r="G149" s="78"/>
      <c r="H149" s="78"/>
      <c r="I149" s="78"/>
      <c r="J149" s="78"/>
      <c r="K149" s="78"/>
      <c r="L149" s="62"/>
    </row>
    <row r="150" spans="1:32" ht="72" x14ac:dyDescent="0.2">
      <c r="A150" s="54"/>
      <c r="B150" s="54"/>
      <c r="C150" s="78" t="str">
        <f>Source!CN86</f>
        <v>Поправка: М-ка 421/пр 04.08.20 п.58 п.п. б)  Наименование: При отсутствии необходимых норм (единичных расценок), включенных в сборники ГЭСНр (ФЕРр, ТЕРр), сметные затраты на работы по капитальному ремонту и реконструкции объектов капитального строительства могут быть определены по сметным нормам, включенным в ГЭСН (ФЕР, ТЕР), аналогичным технологическим процессам в новом строительстве, в том числе по возведению новых конструктивных элементов  Поправка: Мет.421/пр 04.08.20 Пр.10 Т.3 п. 1.2  Наименование: Производство ремонтно-строительных работ осуществляется в помещениях эксплуатируемого объекта капитального строительства без остановки рабочего процесса, при этом: в зоне производства ремонтно-строительных работ имеются действующее технологическое или лабораторное оборудование, мебель и иные загромождающие помещения предметы</v>
      </c>
      <c r="D150" s="78"/>
      <c r="E150" s="78"/>
      <c r="F150" s="78"/>
      <c r="G150" s="78"/>
      <c r="H150" s="78"/>
      <c r="I150" s="78"/>
      <c r="J150" s="78"/>
      <c r="K150" s="78"/>
      <c r="L150" s="62"/>
      <c r="AF150" s="33" t="str">
        <f>Source!CN86</f>
        <v>Поправка: М-ка 421/пр 04.08.20 п.58 п.п. б)  Наименование: При отсутствии необходимых норм (единичных расценок), включенных в сборники ГЭСНр (ФЕРр, ТЕРр), сметные затраты на работы по капитальному ремонту и реконструкции объектов капитального строительства могут быть определены по сметным нормам, включенным в ГЭСН (ФЕР, ТЕР), аналогичным технологическим процессам в новом строительстве, в том числе по возведению новых конструктивных элементов  Поправка: Мет.421/пр 04.08.20 Пр.10 Т.3 п. 1.2  Наименование: Производство ремонтно-строительных работ осуществляется в помещениях эксплуатируемого объекта капитального строительства без остановки рабочего процесса, при этом: в зоне производства ремонтно-строительных работ имеются действующее технологическое или лабораторное оборудование, мебель и иные загромождающие помещения предметы</v>
      </c>
    </row>
    <row r="151" spans="1:32" x14ac:dyDescent="0.2">
      <c r="A151" s="73"/>
      <c r="B151" s="74"/>
      <c r="C151" s="74"/>
      <c r="D151" s="74"/>
      <c r="E151" s="74"/>
      <c r="F151" s="74"/>
      <c r="G151" s="74"/>
      <c r="H151" s="74"/>
      <c r="I151" s="74"/>
      <c r="J151" s="74"/>
      <c r="K151" s="75"/>
      <c r="L151" s="62"/>
    </row>
    <row r="152" spans="1:32" ht="48" x14ac:dyDescent="0.2">
      <c r="A152" s="80" t="str">
        <f>Source!E87</f>
        <v>25</v>
      </c>
      <c r="B152" s="32" t="s">
        <v>907</v>
      </c>
      <c r="C152" s="33" t="str">
        <f>CONCATENATE(Source!G87, ", ",Source!DW87)</f>
        <v>Кран шаровой 11Б27п1, номинальное давление 1,0 МПа (10 кгс/см2), номинальный диаметр 15 мм, присоединение к трубопроводу муфтовое, ШТ</v>
      </c>
      <c r="D152" s="82">
        <f>ROUND(Source!I87,6)</f>
        <v>2</v>
      </c>
      <c r="E152" s="29">
        <f>ROUND(Source!AC87,2)</f>
        <v>15.71</v>
      </c>
      <c r="F152" s="28"/>
      <c r="G152" s="30">
        <f>ROUND(Source!O87,0)</f>
        <v>31</v>
      </c>
      <c r="H152" s="82"/>
      <c r="I152" s="28"/>
      <c r="J152" s="28"/>
      <c r="K152" s="28"/>
      <c r="L152" s="62"/>
      <c r="T152">
        <f>Source!O87</f>
        <v>31</v>
      </c>
      <c r="U152">
        <f>Source!P87</f>
        <v>31</v>
      </c>
      <c r="V152">
        <f>Source!S87</f>
        <v>0</v>
      </c>
      <c r="W152">
        <f>Source!Q87</f>
        <v>0</v>
      </c>
      <c r="X152">
        <f>Source!R87</f>
        <v>0</v>
      </c>
      <c r="Y152">
        <f>Source!U87</f>
        <v>0</v>
      </c>
      <c r="Z152">
        <f>Source!V87</f>
        <v>0</v>
      </c>
      <c r="AA152">
        <f>Source!X87</f>
        <v>0</v>
      </c>
      <c r="AB152">
        <f>Source!Y87</f>
        <v>0</v>
      </c>
    </row>
    <row r="153" spans="1:32" x14ac:dyDescent="0.2">
      <c r="A153" s="81"/>
      <c r="B153" s="34"/>
      <c r="C153" s="35"/>
      <c r="D153" s="83"/>
      <c r="E153" s="36"/>
      <c r="F153" s="28"/>
      <c r="G153" s="37"/>
      <c r="H153" s="83"/>
      <c r="I153" s="28"/>
      <c r="J153" s="28"/>
      <c r="K153" s="28"/>
      <c r="L153" s="62"/>
    </row>
    <row r="154" spans="1:32" x14ac:dyDescent="0.2">
      <c r="A154" s="73"/>
      <c r="B154" s="74"/>
      <c r="C154" s="74"/>
      <c r="D154" s="74"/>
      <c r="E154" s="74"/>
      <c r="F154" s="74"/>
      <c r="G154" s="74"/>
      <c r="H154" s="74"/>
      <c r="I154" s="74"/>
      <c r="J154" s="74"/>
      <c r="K154" s="75"/>
      <c r="L154" s="62"/>
    </row>
    <row r="155" spans="1:32" x14ac:dyDescent="0.2">
      <c r="A155" s="86" t="str">
        <f>CONCATENATE( "Раздел ",IF(Source!C12="1", Source!F119, Source!G119))</f>
        <v>Раздел Помещение распределительных устройств</v>
      </c>
      <c r="B155" s="86"/>
      <c r="C155" s="86"/>
      <c r="D155" s="86"/>
      <c r="E155" s="86"/>
      <c r="F155" s="86"/>
      <c r="G155" s="86"/>
      <c r="H155" s="86"/>
      <c r="I155" s="86"/>
      <c r="J155" s="86"/>
      <c r="K155" s="86"/>
      <c r="L155" s="62"/>
    </row>
    <row r="156" spans="1:32" ht="36" x14ac:dyDescent="0.2">
      <c r="A156" s="80" t="str">
        <f>Source!E123</f>
        <v>26</v>
      </c>
      <c r="B156" s="32" t="s">
        <v>908</v>
      </c>
      <c r="C156" s="33" t="str">
        <f>CONCATENATE(Source!G123, ", ",Source!DW123)</f>
        <v>Разборка горизонтальных поверхностей бетонных конструкций при помощи отбойных молотков, бетон марки: 150, м3</v>
      </c>
      <c r="D156" s="82">
        <f>ROUND(Source!I123,6)</f>
        <v>2.4</v>
      </c>
      <c r="E156" s="29">
        <f>ROUND(Source!AB123,2)</f>
        <v>131.71</v>
      </c>
      <c r="F156" s="29">
        <f>ROUND(Source!AD123,2)</f>
        <v>86.95</v>
      </c>
      <c r="G156" s="84">
        <f>ROUND(Source!O123,0)</f>
        <v>316</v>
      </c>
      <c r="H156" s="84">
        <f>ROUND(Source!S123,0)</f>
        <v>107</v>
      </c>
      <c r="I156" s="30">
        <f>ROUND(Source!Q123,0)</f>
        <v>209</v>
      </c>
      <c r="J156" s="28">
        <f>ROUND(Source!AH123,6)</f>
        <v>5.2469999999999999</v>
      </c>
      <c r="K156" s="31">
        <f>ROUND(Source!U123,6)</f>
        <v>12.5928</v>
      </c>
      <c r="L156" s="62"/>
      <c r="T156">
        <f>Source!O123</f>
        <v>316</v>
      </c>
      <c r="U156">
        <f>Source!P123</f>
        <v>0</v>
      </c>
      <c r="V156">
        <f>Source!S123</f>
        <v>107</v>
      </c>
      <c r="W156">
        <f>Source!Q123</f>
        <v>209</v>
      </c>
      <c r="X156">
        <f>Source!R123</f>
        <v>0</v>
      </c>
      <c r="Y156">
        <f>Source!U123</f>
        <v>12.592799999999997</v>
      </c>
      <c r="Z156">
        <f>Source!V123</f>
        <v>0</v>
      </c>
      <c r="AA156">
        <f>Source!X123</f>
        <v>100</v>
      </c>
      <c r="AB156">
        <f>Source!Y123</f>
        <v>47</v>
      </c>
    </row>
    <row r="157" spans="1:32" ht="36" x14ac:dyDescent="0.2">
      <c r="A157" s="81"/>
      <c r="B157" s="38" t="s">
        <v>219</v>
      </c>
      <c r="C157" s="35"/>
      <c r="D157" s="83"/>
      <c r="E157" s="29">
        <f>ROUND(Source!AF123,2)</f>
        <v>44.76</v>
      </c>
      <c r="F157" s="29">
        <f>ROUND(Source!AE123,2)</f>
        <v>0</v>
      </c>
      <c r="G157" s="85"/>
      <c r="H157" s="85"/>
      <c r="I157" s="30">
        <f>ROUND(Source!R123,0)</f>
        <v>0</v>
      </c>
      <c r="J157" s="28">
        <f>ROUND(Source!AI123,6)</f>
        <v>0</v>
      </c>
      <c r="K157" s="31">
        <f>ROUND(Source!V123,6)</f>
        <v>0</v>
      </c>
      <c r="L157" s="62"/>
    </row>
    <row r="158" spans="1:32" x14ac:dyDescent="0.2">
      <c r="A158" s="54"/>
      <c r="B158" s="54"/>
      <c r="C158" s="78" t="s">
        <v>909</v>
      </c>
      <c r="D158" s="78"/>
      <c r="E158" s="78"/>
      <c r="F158" s="78"/>
      <c r="G158" s="78"/>
      <c r="H158" s="78"/>
      <c r="I158" s="78"/>
      <c r="J158" s="78"/>
      <c r="K158" s="78"/>
      <c r="L158" s="62"/>
    </row>
    <row r="159" spans="1:32" x14ac:dyDescent="0.2">
      <c r="A159" s="54"/>
      <c r="B159" s="54"/>
      <c r="C159" s="78" t="s">
        <v>910</v>
      </c>
      <c r="D159" s="78"/>
      <c r="E159" s="78"/>
      <c r="F159" s="78"/>
      <c r="G159" s="78"/>
      <c r="H159" s="78"/>
      <c r="I159" s="78"/>
      <c r="J159" s="78"/>
      <c r="K159" s="78"/>
      <c r="L159" s="62"/>
    </row>
    <row r="160" spans="1:32" x14ac:dyDescent="0.2">
      <c r="A160" s="54"/>
      <c r="B160" s="54"/>
      <c r="C160" s="79" t="s">
        <v>911</v>
      </c>
      <c r="D160" s="78"/>
      <c r="E160" s="78"/>
      <c r="F160" s="78"/>
      <c r="G160" s="78"/>
      <c r="H160" s="78"/>
      <c r="I160" s="78"/>
      <c r="J160" s="78"/>
      <c r="K160" s="78"/>
      <c r="L160" s="62"/>
    </row>
    <row r="161" spans="1:32" x14ac:dyDescent="0.2">
      <c r="A161" s="54"/>
      <c r="B161" s="54"/>
      <c r="C161" s="78" t="str">
        <f>Source!CN123</f>
        <v>Поправка: Сб.№69, п.1.69.7  Наименование: При разборке структурно разрушенного слоя бетона и железобетона</v>
      </c>
      <c r="D161" s="78"/>
      <c r="E161" s="78"/>
      <c r="F161" s="78"/>
      <c r="G161" s="78"/>
      <c r="H161" s="78"/>
      <c r="I161" s="78"/>
      <c r="J161" s="78"/>
      <c r="K161" s="78"/>
      <c r="L161" s="62"/>
      <c r="AF161" s="33" t="str">
        <f>Source!CN123</f>
        <v>Поправка: Сб.№69, п.1.69.7  Наименование: При разборке структурно разрушенного слоя бетона и железобетона</v>
      </c>
    </row>
    <row r="162" spans="1:32" x14ac:dyDescent="0.2">
      <c r="A162" s="73"/>
      <c r="B162" s="74"/>
      <c r="C162" s="74"/>
      <c r="D162" s="74"/>
      <c r="E162" s="74"/>
      <c r="F162" s="74"/>
      <c r="G162" s="74"/>
      <c r="H162" s="74"/>
      <c r="I162" s="74"/>
      <c r="J162" s="74"/>
      <c r="K162" s="75"/>
      <c r="L162" s="62"/>
    </row>
    <row r="163" spans="1:32" ht="36" x14ac:dyDescent="0.2">
      <c r="A163" s="80" t="str">
        <f>Source!E124</f>
        <v>27</v>
      </c>
      <c r="B163" s="32" t="s">
        <v>912</v>
      </c>
      <c r="C163" s="33" t="str">
        <f>CONCATENATE(Source!G124, ", ",Source!DW124)</f>
        <v>Пробивка в бетонных конструкциях полов и стен борозд площадью сечения: свыше 50 см2 до 100 см2, 100 м</v>
      </c>
      <c r="D163" s="82">
        <f>ROUND(Source!I124,6)</f>
        <v>2.5000000000000001E-2</v>
      </c>
      <c r="E163" s="29">
        <f>ROUND(Source!AB124,2)</f>
        <v>2414.77</v>
      </c>
      <c r="F163" s="29">
        <f>ROUND(Source!AD124,2)</f>
        <v>1542.68</v>
      </c>
      <c r="G163" s="84">
        <f>ROUND(Source!O124,0)</f>
        <v>61</v>
      </c>
      <c r="H163" s="84">
        <f>ROUND(Source!S124,0)</f>
        <v>22</v>
      </c>
      <c r="I163" s="30">
        <f>ROUND(Source!Q124,0)</f>
        <v>39</v>
      </c>
      <c r="J163" s="28">
        <f>ROUND(Source!AH124,6)</f>
        <v>92.775099999999995</v>
      </c>
      <c r="K163" s="31">
        <f>ROUND(Source!U124,6)</f>
        <v>2.3193779999999999</v>
      </c>
      <c r="L163" s="62"/>
      <c r="T163">
        <f>Source!O124</f>
        <v>61</v>
      </c>
      <c r="U163">
        <f>Source!P124</f>
        <v>0</v>
      </c>
      <c r="V163">
        <f>Source!S124</f>
        <v>22</v>
      </c>
      <c r="W163">
        <f>Source!Q124</f>
        <v>39</v>
      </c>
      <c r="X163">
        <f>Source!R124</f>
        <v>0</v>
      </c>
      <c r="Y163">
        <f>Source!U124</f>
        <v>2.3193774999999999</v>
      </c>
      <c r="Z163">
        <f>Source!V124</f>
        <v>0</v>
      </c>
      <c r="AA163">
        <f>Source!X124</f>
        <v>23</v>
      </c>
      <c r="AB163">
        <f>Source!Y124</f>
        <v>11</v>
      </c>
    </row>
    <row r="164" spans="1:32" ht="96" x14ac:dyDescent="0.2">
      <c r="A164" s="81"/>
      <c r="B164" s="38" t="s">
        <v>229</v>
      </c>
      <c r="C164" s="35" t="s">
        <v>913</v>
      </c>
      <c r="D164" s="83"/>
      <c r="E164" s="29">
        <f>ROUND(Source!AF124,2)</f>
        <v>872.09</v>
      </c>
      <c r="F164" s="29">
        <f>ROUND(Source!AE124,2)</f>
        <v>0</v>
      </c>
      <c r="G164" s="85"/>
      <c r="H164" s="85"/>
      <c r="I164" s="30">
        <f>ROUND(Source!R124,0)</f>
        <v>0</v>
      </c>
      <c r="J164" s="28">
        <f>ROUND(Source!AI124,6)</f>
        <v>0</v>
      </c>
      <c r="K164" s="31">
        <f>ROUND(Source!V124,6)</f>
        <v>0</v>
      </c>
      <c r="L164" s="62"/>
    </row>
    <row r="165" spans="1:32" x14ac:dyDescent="0.2">
      <c r="A165" s="54"/>
      <c r="B165" s="54"/>
      <c r="C165" s="78" t="s">
        <v>914</v>
      </c>
      <c r="D165" s="78"/>
      <c r="E165" s="78"/>
      <c r="F165" s="78"/>
      <c r="G165" s="78"/>
      <c r="H165" s="78"/>
      <c r="I165" s="78"/>
      <c r="J165" s="78"/>
      <c r="K165" s="78"/>
      <c r="L165" s="62"/>
    </row>
    <row r="166" spans="1:32" x14ac:dyDescent="0.2">
      <c r="A166" s="54"/>
      <c r="B166" s="54"/>
      <c r="C166" s="78" t="s">
        <v>915</v>
      </c>
      <c r="D166" s="78"/>
      <c r="E166" s="78"/>
      <c r="F166" s="78"/>
      <c r="G166" s="78"/>
      <c r="H166" s="78"/>
      <c r="I166" s="78"/>
      <c r="J166" s="78"/>
      <c r="K166" s="78"/>
      <c r="L166" s="62"/>
    </row>
    <row r="167" spans="1:32" x14ac:dyDescent="0.2">
      <c r="A167" s="54"/>
      <c r="B167" s="54"/>
      <c r="C167" s="79" t="s">
        <v>916</v>
      </c>
      <c r="D167" s="78"/>
      <c r="E167" s="78"/>
      <c r="F167" s="78"/>
      <c r="G167" s="78"/>
      <c r="H167" s="78"/>
      <c r="I167" s="78"/>
      <c r="J167" s="78"/>
      <c r="K167" s="78"/>
      <c r="L167" s="62"/>
    </row>
    <row r="168" spans="1:32" ht="72" x14ac:dyDescent="0.2">
      <c r="A168" s="54"/>
      <c r="B168" s="54"/>
      <c r="C168" s="78" t="str">
        <f>Source!CN124</f>
        <v>Поправка: М-ка 421/пр 04.08.20 п.58 п.п. б)  Наименование: При отсутствии необходимых норм (единичных расценок), включенных в сборники ГЭСНр (ФЕРр, ТЕРр), сметные затраты на работы по капитальному ремонту и реконструкции объектов капитального строительства могут быть определены по сметным нормам, включенным в ГЭСН (ФЕР, ТЕР), аналогичным технологическим процессам в новом строительстве, в том числе по возведению новых конструктивных элементов  Поправка: Мет.421/пр 04.08.20 Пр.10 Т.3 п. 2  Наименование: Производство ремонтно-строительных работ осуществляется в помещениях объекта капитального строительства с остановкой рабочего процесса, при этом в зоне производства ремонтно- строительных работ имеются действующее технологическое или лабораторное оборудование, мебель и иные загромождающие помещения предметы</v>
      </c>
      <c r="D168" s="78"/>
      <c r="E168" s="78"/>
      <c r="F168" s="78"/>
      <c r="G168" s="78"/>
      <c r="H168" s="78"/>
      <c r="I168" s="78"/>
      <c r="J168" s="78"/>
      <c r="K168" s="78"/>
      <c r="L168" s="62"/>
      <c r="AF168" s="33" t="str">
        <f>Source!CN124</f>
        <v>Поправка: М-ка 421/пр 04.08.20 п.58 п.п. б)  Наименование: При отсутствии необходимых норм (единичных расценок), включенных в сборники ГЭСНр (ФЕРр, ТЕРр), сметные затраты на работы по капитальному ремонту и реконструкции объектов капитального строительства могут быть определены по сметным нормам, включенным в ГЭСН (ФЕР, ТЕР), аналогичным технологическим процессам в новом строительстве, в том числе по возведению новых конструктивных элементов  Поправка: Мет.421/пр 04.08.20 Пр.10 Т.3 п. 2  Наименование: Производство ремонтно-строительных работ осуществляется в помещениях объекта капитального строительства с остановкой рабочего процесса, при этом в зоне производства ремонтно- строительных работ имеются действующее технологическое или лабораторное оборудование, мебель и иные загромождающие помещения предметы</v>
      </c>
    </row>
    <row r="169" spans="1:32" x14ac:dyDescent="0.2">
      <c r="A169" s="73"/>
      <c r="B169" s="74"/>
      <c r="C169" s="74"/>
      <c r="D169" s="74"/>
      <c r="E169" s="74"/>
      <c r="F169" s="74"/>
      <c r="G169" s="74"/>
      <c r="H169" s="74"/>
      <c r="I169" s="74"/>
      <c r="J169" s="74"/>
      <c r="K169" s="75"/>
      <c r="L169" s="62"/>
    </row>
    <row r="170" spans="1:32" ht="24" x14ac:dyDescent="0.2">
      <c r="A170" s="80" t="str">
        <f>Source!E125</f>
        <v>28</v>
      </c>
      <c r="B170" s="32" t="s">
        <v>917</v>
      </c>
      <c r="C170" s="33" t="str">
        <f>CONCATENATE(Source!G125, ", ",Source!DW125)</f>
        <v>Короба пластмассовые: шириной до 40 мм, 100 м</v>
      </c>
      <c r="D170" s="82">
        <f>ROUND(Source!I125,6)</f>
        <v>0.23</v>
      </c>
      <c r="E170" s="29">
        <f>ROUND(Source!AB125,2)</f>
        <v>253.33</v>
      </c>
      <c r="F170" s="29">
        <f>ROUND(Source!AD125,2)</f>
        <v>0.4</v>
      </c>
      <c r="G170" s="84">
        <f>ROUND(Source!O125,0)</f>
        <v>58</v>
      </c>
      <c r="H170" s="84">
        <f>ROUND(Source!S125,0)</f>
        <v>46</v>
      </c>
      <c r="I170" s="30">
        <f>ROUND(Source!Q125,0)</f>
        <v>0</v>
      </c>
      <c r="J170" s="28">
        <f>ROUND(Source!AH125,6)</f>
        <v>21.177</v>
      </c>
      <c r="K170" s="31">
        <f>ROUND(Source!U125,6)</f>
        <v>4.8707099999999999</v>
      </c>
      <c r="L170" s="62"/>
      <c r="T170">
        <f>Source!O125</f>
        <v>58</v>
      </c>
      <c r="U170">
        <f>Source!P125</f>
        <v>12</v>
      </c>
      <c r="V170">
        <f>Source!S125</f>
        <v>46</v>
      </c>
      <c r="W170">
        <f>Source!Q125</f>
        <v>0</v>
      </c>
      <c r="X170">
        <f>Source!R125</f>
        <v>0</v>
      </c>
      <c r="Y170">
        <f>Source!U125</f>
        <v>4.8707099999999999</v>
      </c>
      <c r="Z170">
        <f>Source!V125</f>
        <v>2.9900000000000005E-3</v>
      </c>
      <c r="AA170">
        <f>Source!X125</f>
        <v>45</v>
      </c>
      <c r="AB170">
        <f>Source!Y125</f>
        <v>23</v>
      </c>
    </row>
    <row r="171" spans="1:32" ht="48" x14ac:dyDescent="0.2">
      <c r="A171" s="81"/>
      <c r="B171" s="38" t="s">
        <v>238</v>
      </c>
      <c r="C171" s="35" t="s">
        <v>918</v>
      </c>
      <c r="D171" s="83"/>
      <c r="E171" s="29">
        <f>ROUND(Source!AF125,2)</f>
        <v>201.4</v>
      </c>
      <c r="F171" s="29">
        <f>ROUND(Source!AE125,2)</f>
        <v>0.18</v>
      </c>
      <c r="G171" s="85"/>
      <c r="H171" s="85"/>
      <c r="I171" s="30">
        <f>ROUND(Source!R125,0)</f>
        <v>0</v>
      </c>
      <c r="J171" s="28">
        <f>ROUND(Source!AI125,6)</f>
        <v>1.2999999999999999E-2</v>
      </c>
      <c r="K171" s="31">
        <f>ROUND(Source!V125,6)</f>
        <v>2.99E-3</v>
      </c>
      <c r="L171" s="62"/>
    </row>
    <row r="172" spans="1:32" x14ac:dyDescent="0.2">
      <c r="A172" s="54"/>
      <c r="B172" s="54"/>
      <c r="C172" s="78" t="s">
        <v>919</v>
      </c>
      <c r="D172" s="78"/>
      <c r="E172" s="78"/>
      <c r="F172" s="78"/>
      <c r="G172" s="78"/>
      <c r="H172" s="78"/>
      <c r="I172" s="78"/>
      <c r="J172" s="78"/>
      <c r="K172" s="78"/>
      <c r="L172" s="62"/>
    </row>
    <row r="173" spans="1:32" x14ac:dyDescent="0.2">
      <c r="A173" s="54"/>
      <c r="B173" s="54"/>
      <c r="C173" s="78" t="s">
        <v>920</v>
      </c>
      <c r="D173" s="78"/>
      <c r="E173" s="78"/>
      <c r="F173" s="78"/>
      <c r="G173" s="78"/>
      <c r="H173" s="78"/>
      <c r="I173" s="78"/>
      <c r="J173" s="78"/>
      <c r="K173" s="78"/>
      <c r="L173" s="62"/>
    </row>
    <row r="174" spans="1:32" x14ac:dyDescent="0.2">
      <c r="A174" s="54"/>
      <c r="B174" s="54"/>
      <c r="C174" s="79" t="s">
        <v>921</v>
      </c>
      <c r="D174" s="78"/>
      <c r="E174" s="78"/>
      <c r="F174" s="78"/>
      <c r="G174" s="78"/>
      <c r="H174" s="78"/>
      <c r="I174" s="78"/>
      <c r="J174" s="78"/>
      <c r="K174" s="78"/>
      <c r="L174" s="62"/>
    </row>
    <row r="175" spans="1:32" ht="36" x14ac:dyDescent="0.2">
      <c r="A175" s="54"/>
      <c r="B175" s="54"/>
      <c r="C175" s="78" t="str">
        <f>Source!CN125</f>
        <v>Поправка: Мет.421/пр 04.08.20 Пр.10 Т.3 п. 2  Наименование: Производство ремонтно-строительных работ осуществляется в помещениях объекта капитального строительства с остановкой рабочего процесса, при этом в зоне производства ремонтно- строительных работ имеются действующее технологическое или лабораторное оборудование, мебель и иные загромождающие помещения предметы</v>
      </c>
      <c r="D175" s="78"/>
      <c r="E175" s="78"/>
      <c r="F175" s="78"/>
      <c r="G175" s="78"/>
      <c r="H175" s="78"/>
      <c r="I175" s="78"/>
      <c r="J175" s="78"/>
      <c r="K175" s="78"/>
      <c r="L175" s="62"/>
      <c r="AF175" s="33" t="str">
        <f>Source!CN125</f>
        <v>Поправка: Мет.421/пр 04.08.20 Пр.10 Т.3 п. 2  Наименование: Производство ремонтно-строительных работ осуществляется в помещениях объекта капитального строительства с остановкой рабочего процесса, при этом в зоне производства ремонтно- строительных работ имеются действующее технологическое или лабораторное оборудование, мебель и иные загромождающие помещения предметы</v>
      </c>
    </row>
    <row r="176" spans="1:32" x14ac:dyDescent="0.2">
      <c r="A176" s="73"/>
      <c r="B176" s="74"/>
      <c r="C176" s="74"/>
      <c r="D176" s="74"/>
      <c r="E176" s="74"/>
      <c r="F176" s="74"/>
      <c r="G176" s="74"/>
      <c r="H176" s="74"/>
      <c r="I176" s="74"/>
      <c r="J176" s="74"/>
      <c r="K176" s="75"/>
      <c r="L176" s="62"/>
    </row>
    <row r="177" spans="1:32" ht="36" x14ac:dyDescent="0.2">
      <c r="A177" s="80" t="str">
        <f>Source!E126</f>
        <v>29</v>
      </c>
      <c r="B177" s="32" t="s">
        <v>922</v>
      </c>
      <c r="C177" s="33" t="str">
        <f>CONCATENATE(Source!G126, ", ",Source!DW126)</f>
        <v>Кабель-канал (короб) 16х16 мм, м</v>
      </c>
      <c r="D177" s="82">
        <f>ROUND(Source!I126,6)</f>
        <v>23</v>
      </c>
      <c r="E177" s="29">
        <f>ROUND(Source!AC126,2)</f>
        <v>1.18</v>
      </c>
      <c r="F177" s="28"/>
      <c r="G177" s="30">
        <f>ROUND(Source!O126,0)</f>
        <v>27</v>
      </c>
      <c r="H177" s="82"/>
      <c r="I177" s="28"/>
      <c r="J177" s="28"/>
      <c r="K177" s="28"/>
      <c r="L177" s="62"/>
      <c r="T177">
        <f>Source!O126</f>
        <v>27</v>
      </c>
      <c r="U177">
        <f>Source!P126</f>
        <v>27</v>
      </c>
      <c r="V177">
        <f>Source!S126</f>
        <v>0</v>
      </c>
      <c r="W177">
        <f>Source!Q126</f>
        <v>0</v>
      </c>
      <c r="X177">
        <f>Source!R126</f>
        <v>0</v>
      </c>
      <c r="Y177">
        <f>Source!U126</f>
        <v>0</v>
      </c>
      <c r="Z177">
        <f>Source!V126</f>
        <v>0</v>
      </c>
      <c r="AA177">
        <f>Source!X126</f>
        <v>0</v>
      </c>
      <c r="AB177">
        <f>Source!Y126</f>
        <v>0</v>
      </c>
    </row>
    <row r="178" spans="1:32" x14ac:dyDescent="0.2">
      <c r="A178" s="81"/>
      <c r="B178" s="34"/>
      <c r="C178" s="35"/>
      <c r="D178" s="83"/>
      <c r="E178" s="36"/>
      <c r="F178" s="28"/>
      <c r="G178" s="37"/>
      <c r="H178" s="83"/>
      <c r="I178" s="28"/>
      <c r="J178" s="28"/>
      <c r="K178" s="28"/>
      <c r="L178" s="62"/>
    </row>
    <row r="179" spans="1:32" x14ac:dyDescent="0.2">
      <c r="A179" s="73"/>
      <c r="B179" s="74"/>
      <c r="C179" s="74"/>
      <c r="D179" s="74"/>
      <c r="E179" s="74"/>
      <c r="F179" s="74"/>
      <c r="G179" s="74"/>
      <c r="H179" s="74"/>
      <c r="I179" s="74"/>
      <c r="J179" s="74"/>
      <c r="K179" s="75"/>
      <c r="L179" s="62"/>
    </row>
    <row r="180" spans="1:32" ht="24" x14ac:dyDescent="0.2">
      <c r="A180" s="80" t="str">
        <f>Source!E127</f>
        <v>30</v>
      </c>
      <c r="B180" s="32" t="s">
        <v>923</v>
      </c>
      <c r="C180" s="33" t="str">
        <f>CONCATENATE(Source!G127, ", ",Source!DW127)</f>
        <v>Провод в коробах, сечением: до 35 мм2, 100 м</v>
      </c>
      <c r="D180" s="82">
        <f>ROUND(Source!I127,6)</f>
        <v>0.23</v>
      </c>
      <c r="E180" s="29">
        <f>ROUND(Source!AB127,2)</f>
        <v>61.4</v>
      </c>
      <c r="F180" s="29">
        <f>ROUND(Source!AD127,2)</f>
        <v>2.36</v>
      </c>
      <c r="G180" s="84">
        <f>ROUND(Source!O127,0)</f>
        <v>14</v>
      </c>
      <c r="H180" s="84">
        <f>ROUND(Source!S127,0)</f>
        <v>11</v>
      </c>
      <c r="I180" s="30">
        <f>ROUND(Source!Q127,0)</f>
        <v>1</v>
      </c>
      <c r="J180" s="28">
        <f>ROUND(Source!AH127,6)</f>
        <v>5.1323999999999996</v>
      </c>
      <c r="K180" s="31">
        <f>ROUND(Source!U127,6)</f>
        <v>1.1804520000000001</v>
      </c>
      <c r="L180" s="62"/>
      <c r="T180">
        <f>Source!O127</f>
        <v>14</v>
      </c>
      <c r="U180">
        <f>Source!P127</f>
        <v>2</v>
      </c>
      <c r="V180">
        <f>Source!S127</f>
        <v>11</v>
      </c>
      <c r="W180">
        <f>Source!Q127</f>
        <v>1</v>
      </c>
      <c r="X180">
        <f>Source!R127</f>
        <v>0</v>
      </c>
      <c r="Y180">
        <f>Source!U127</f>
        <v>1.1804520000000003</v>
      </c>
      <c r="Z180">
        <f>Source!V127</f>
        <v>5.9800000000000009E-3</v>
      </c>
      <c r="AA180">
        <f>Source!X127</f>
        <v>11</v>
      </c>
      <c r="AB180">
        <f>Source!Y127</f>
        <v>6</v>
      </c>
    </row>
    <row r="181" spans="1:32" ht="84" x14ac:dyDescent="0.2">
      <c r="A181" s="81"/>
      <c r="B181" s="38" t="s">
        <v>251</v>
      </c>
      <c r="C181" s="35" t="s">
        <v>918</v>
      </c>
      <c r="D181" s="83"/>
      <c r="E181" s="29">
        <f>ROUND(Source!AF127,2)</f>
        <v>48.24</v>
      </c>
      <c r="F181" s="29">
        <f>ROUND(Source!AE127,2)</f>
        <v>0.34</v>
      </c>
      <c r="G181" s="85"/>
      <c r="H181" s="85"/>
      <c r="I181" s="30">
        <f>ROUND(Source!R127,0)</f>
        <v>0</v>
      </c>
      <c r="J181" s="28">
        <f>ROUND(Source!AI127,6)</f>
        <v>2.5999999999999999E-2</v>
      </c>
      <c r="K181" s="31">
        <f>ROUND(Source!V127,6)</f>
        <v>5.9800000000000001E-3</v>
      </c>
      <c r="L181" s="62"/>
    </row>
    <row r="182" spans="1:32" x14ac:dyDescent="0.2">
      <c r="A182" s="54"/>
      <c r="B182" s="54"/>
      <c r="C182" s="78" t="s">
        <v>924</v>
      </c>
      <c r="D182" s="78"/>
      <c r="E182" s="78"/>
      <c r="F182" s="78"/>
      <c r="G182" s="78"/>
      <c r="H182" s="78"/>
      <c r="I182" s="78"/>
      <c r="J182" s="78"/>
      <c r="K182" s="78"/>
      <c r="L182" s="62"/>
    </row>
    <row r="183" spans="1:32" x14ac:dyDescent="0.2">
      <c r="A183" s="54"/>
      <c r="B183" s="54"/>
      <c r="C183" s="78" t="s">
        <v>925</v>
      </c>
      <c r="D183" s="78"/>
      <c r="E183" s="78"/>
      <c r="F183" s="78"/>
      <c r="G183" s="78"/>
      <c r="H183" s="78"/>
      <c r="I183" s="78"/>
      <c r="J183" s="78"/>
      <c r="K183" s="78"/>
      <c r="L183" s="62"/>
    </row>
    <row r="184" spans="1:32" x14ac:dyDescent="0.2">
      <c r="A184" s="54"/>
      <c r="B184" s="54"/>
      <c r="C184" s="79" t="s">
        <v>926</v>
      </c>
      <c r="D184" s="78"/>
      <c r="E184" s="78"/>
      <c r="F184" s="78"/>
      <c r="G184" s="78"/>
      <c r="H184" s="78"/>
      <c r="I184" s="78"/>
      <c r="J184" s="78"/>
      <c r="K184" s="78"/>
      <c r="L184" s="62"/>
    </row>
    <row r="185" spans="1:32" ht="48" x14ac:dyDescent="0.2">
      <c r="A185" s="54"/>
      <c r="B185" s="54"/>
      <c r="C185" s="78" t="str">
        <f>Source!CN127</f>
        <v>Поправка: Мет.421/пр 04.08.20 Пр.10 Т.3 п. 2  Наименование: Производство ремонтно-строительных работ осуществляется в помещениях объекта капитального строительства с остановкой рабочего процесса, при этом в зоне производства ремонтно- строительных работ имеются действующее технологическое или лабораторное оборудование, мебель и иные загромождающие помещения предметы  Поправка: Сб.№м 8, п.1.8. 3.1  Наименование: При производстве работ на высоте св. 2 до 8 м</v>
      </c>
      <c r="D185" s="78"/>
      <c r="E185" s="78"/>
      <c r="F185" s="78"/>
      <c r="G185" s="78"/>
      <c r="H185" s="78"/>
      <c r="I185" s="78"/>
      <c r="J185" s="78"/>
      <c r="K185" s="78"/>
      <c r="L185" s="62"/>
      <c r="AF185" s="33" t="str">
        <f>Source!CN127</f>
        <v>Поправка: Мет.421/пр 04.08.20 Пр.10 Т.3 п. 2  Наименование: Производство ремонтно-строительных работ осуществляется в помещениях объекта капитального строительства с остановкой рабочего процесса, при этом в зоне производства ремонтно- строительных работ имеются действующее технологическое или лабораторное оборудование, мебель и иные загромождающие помещения предметы  Поправка: Сб.№м 8, п.1.8. 3.1  Наименование: При производстве работ на высоте св. 2 до 8 м</v>
      </c>
    </row>
    <row r="186" spans="1:32" x14ac:dyDescent="0.2">
      <c r="A186" s="73"/>
      <c r="B186" s="74"/>
      <c r="C186" s="74"/>
      <c r="D186" s="74"/>
      <c r="E186" s="74"/>
      <c r="F186" s="74"/>
      <c r="G186" s="74"/>
      <c r="H186" s="74"/>
      <c r="I186" s="74"/>
      <c r="J186" s="74"/>
      <c r="K186" s="75"/>
      <c r="L186" s="62"/>
    </row>
    <row r="187" spans="1:32" ht="36" x14ac:dyDescent="0.2">
      <c r="A187" s="80" t="str">
        <f>Source!E128</f>
        <v>31</v>
      </c>
      <c r="B187" s="32" t="s">
        <v>927</v>
      </c>
      <c r="C187" s="33" t="str">
        <f>CONCATENATE(Source!G128, ", ",Source!DW128)</f>
        <v>Провод силовой установочный с медными жилами ПВ1 1,5-450, 1000 М</v>
      </c>
      <c r="D187" s="82">
        <f>ROUND(Source!I128,6)</f>
        <v>2.3689999999999999E-2</v>
      </c>
      <c r="E187" s="29">
        <f>ROUND(Source!AC128,2)</f>
        <v>1335.52</v>
      </c>
      <c r="F187" s="28"/>
      <c r="G187" s="30">
        <f>ROUND(Source!O128,0)</f>
        <v>32</v>
      </c>
      <c r="H187" s="82"/>
      <c r="I187" s="28"/>
      <c r="J187" s="28"/>
      <c r="K187" s="28"/>
      <c r="L187" s="62"/>
      <c r="T187">
        <f>Source!O128</f>
        <v>32</v>
      </c>
      <c r="U187">
        <f>Source!P128</f>
        <v>32</v>
      </c>
      <c r="V187">
        <f>Source!S128</f>
        <v>0</v>
      </c>
      <c r="W187">
        <f>Source!Q128</f>
        <v>0</v>
      </c>
      <c r="X187">
        <f>Source!R128</f>
        <v>0</v>
      </c>
      <c r="Y187">
        <f>Source!U128</f>
        <v>0</v>
      </c>
      <c r="Z187">
        <f>Source!V128</f>
        <v>0</v>
      </c>
      <c r="AA187">
        <f>Source!X128</f>
        <v>0</v>
      </c>
      <c r="AB187">
        <f>Source!Y128</f>
        <v>0</v>
      </c>
    </row>
    <row r="188" spans="1:32" x14ac:dyDescent="0.2">
      <c r="A188" s="81"/>
      <c r="B188" s="34"/>
      <c r="C188" s="35" t="s">
        <v>928</v>
      </c>
      <c r="D188" s="83"/>
      <c r="E188" s="36"/>
      <c r="F188" s="28"/>
      <c r="G188" s="37"/>
      <c r="H188" s="83"/>
      <c r="I188" s="28"/>
      <c r="J188" s="28"/>
      <c r="K188" s="28"/>
      <c r="L188" s="62"/>
    </row>
    <row r="189" spans="1:32" x14ac:dyDescent="0.2">
      <c r="A189" s="73"/>
      <c r="B189" s="74"/>
      <c r="C189" s="74"/>
      <c r="D189" s="74"/>
      <c r="E189" s="74"/>
      <c r="F189" s="74"/>
      <c r="G189" s="74"/>
      <c r="H189" s="74"/>
      <c r="I189" s="74"/>
      <c r="J189" s="74"/>
      <c r="K189" s="75"/>
      <c r="L189" s="62"/>
    </row>
    <row r="190" spans="1:32" x14ac:dyDescent="0.2">
      <c r="A190" s="86" t="str">
        <f>CONCATENATE( "Раздел ",IF(Source!C12="1", Source!F160, Source!G160))</f>
        <v>Раздел Помещения уборочного инвентаря</v>
      </c>
      <c r="B190" s="86"/>
      <c r="C190" s="86"/>
      <c r="D190" s="86"/>
      <c r="E190" s="86"/>
      <c r="F190" s="86"/>
      <c r="G190" s="86"/>
      <c r="H190" s="86"/>
      <c r="I190" s="86"/>
      <c r="J190" s="86"/>
      <c r="K190" s="86"/>
      <c r="L190" s="62"/>
    </row>
    <row r="191" spans="1:32" ht="60" x14ac:dyDescent="0.2">
      <c r="A191" s="80" t="str">
        <f>Source!E164</f>
        <v>32</v>
      </c>
      <c r="B191" s="32" t="s">
        <v>839</v>
      </c>
      <c r="C191" s="33" t="str">
        <f>CONCATENATE(Source!G164, ", ",Source!DW164)</f>
        <v>Сплошное выравнивание внутренних поверхностей (однослойное оштукатуривание) из сухих растворных смесей толщиной до 10 мм для последующей окраски или оклейки обоями: потолков, 100 м2</v>
      </c>
      <c r="D191" s="82">
        <f>ROUND(Source!I164,6)</f>
        <v>0.23899999999999999</v>
      </c>
      <c r="E191" s="29">
        <f>ROUND(Source!AB164,2)</f>
        <v>374.69</v>
      </c>
      <c r="F191" s="29">
        <f>ROUND(Source!AD164,2)</f>
        <v>17.97</v>
      </c>
      <c r="G191" s="84">
        <f>ROUND(Source!O164,0)</f>
        <v>89</v>
      </c>
      <c r="H191" s="84">
        <f>ROUND(Source!S164,0)</f>
        <v>85</v>
      </c>
      <c r="I191" s="30">
        <f>ROUND(Source!Q164,0)</f>
        <v>4</v>
      </c>
      <c r="J191" s="28">
        <f>ROUND(Source!AH164,6)</f>
        <v>42.01</v>
      </c>
      <c r="K191" s="31">
        <f>ROUND(Source!U164,6)</f>
        <v>10.04039</v>
      </c>
      <c r="L191" s="62"/>
      <c r="T191">
        <f>Source!O164</f>
        <v>89</v>
      </c>
      <c r="U191">
        <f>Source!P164</f>
        <v>0</v>
      </c>
      <c r="V191">
        <f>Source!S164</f>
        <v>85</v>
      </c>
      <c r="W191">
        <f>Source!Q164</f>
        <v>4</v>
      </c>
      <c r="X191">
        <f>Source!R164</f>
        <v>3</v>
      </c>
      <c r="Y191">
        <f>Source!U164</f>
        <v>10.040389999999999</v>
      </c>
      <c r="Z191">
        <f>Source!V164</f>
        <v>0.23660999999999999</v>
      </c>
      <c r="AA191">
        <f>Source!X164</f>
        <v>79</v>
      </c>
      <c r="AB191">
        <f>Source!Y164</f>
        <v>39</v>
      </c>
    </row>
    <row r="192" spans="1:32" x14ac:dyDescent="0.2">
      <c r="A192" s="81"/>
      <c r="B192" s="34"/>
      <c r="C192" s="35" t="s">
        <v>929</v>
      </c>
      <c r="D192" s="83"/>
      <c r="E192" s="29">
        <f>ROUND(Source!AF164,2)</f>
        <v>355.4</v>
      </c>
      <c r="F192" s="29">
        <f>ROUND(Source!AE164,2)</f>
        <v>10.72</v>
      </c>
      <c r="G192" s="85"/>
      <c r="H192" s="85"/>
      <c r="I192" s="30">
        <f>ROUND(Source!R164,0)</f>
        <v>3</v>
      </c>
      <c r="J192" s="28">
        <f>ROUND(Source!AI164,6)</f>
        <v>0.99</v>
      </c>
      <c r="K192" s="31">
        <f>ROUND(Source!V164,6)</f>
        <v>0.23660999999999999</v>
      </c>
      <c r="L192" s="62"/>
    </row>
    <row r="193" spans="1:32" x14ac:dyDescent="0.2">
      <c r="A193" s="54"/>
      <c r="B193" s="54"/>
      <c r="C193" s="78" t="s">
        <v>930</v>
      </c>
      <c r="D193" s="78"/>
      <c r="E193" s="78"/>
      <c r="F193" s="78"/>
      <c r="G193" s="78"/>
      <c r="H193" s="78"/>
      <c r="I193" s="78"/>
      <c r="J193" s="78"/>
      <c r="K193" s="78"/>
      <c r="L193" s="62"/>
    </row>
    <row r="194" spans="1:32" x14ac:dyDescent="0.2">
      <c r="A194" s="54"/>
      <c r="B194" s="54"/>
      <c r="C194" s="78" t="s">
        <v>931</v>
      </c>
      <c r="D194" s="78"/>
      <c r="E194" s="78"/>
      <c r="F194" s="78"/>
      <c r="G194" s="78"/>
      <c r="H194" s="78"/>
      <c r="I194" s="78"/>
      <c r="J194" s="78"/>
      <c r="K194" s="78"/>
      <c r="L194" s="62"/>
    </row>
    <row r="195" spans="1:32" x14ac:dyDescent="0.2">
      <c r="A195" s="73"/>
      <c r="B195" s="74"/>
      <c r="C195" s="74"/>
      <c r="D195" s="74"/>
      <c r="E195" s="74"/>
      <c r="F195" s="74"/>
      <c r="G195" s="74"/>
      <c r="H195" s="74"/>
      <c r="I195" s="74"/>
      <c r="J195" s="74"/>
      <c r="K195" s="75"/>
      <c r="L195" s="62"/>
    </row>
    <row r="196" spans="1:32" ht="36" x14ac:dyDescent="0.2">
      <c r="A196" s="80" t="str">
        <f>Source!E165</f>
        <v>33</v>
      </c>
      <c r="B196" s="32" t="s">
        <v>843</v>
      </c>
      <c r="C196" s="33" t="str">
        <f>CONCATENATE(Source!G165, ", ",Source!DW165)</f>
        <v>Смесь штукатурная М 75, КНАУФ, кг</v>
      </c>
      <c r="D196" s="82">
        <f>ROUND(Source!I165,6)</f>
        <v>21.677299999999999</v>
      </c>
      <c r="E196" s="29">
        <f>ROUND(Source!AC165,2)</f>
        <v>1.72</v>
      </c>
      <c r="F196" s="28"/>
      <c r="G196" s="30">
        <f>ROUND(Source!O165,0)</f>
        <v>37</v>
      </c>
      <c r="H196" s="82"/>
      <c r="I196" s="28"/>
      <c r="J196" s="28"/>
      <c r="K196" s="28"/>
      <c r="L196" s="62"/>
      <c r="T196">
        <f>Source!O165</f>
        <v>37</v>
      </c>
      <c r="U196">
        <f>Source!P165</f>
        <v>37</v>
      </c>
      <c r="V196">
        <f>Source!S165</f>
        <v>0</v>
      </c>
      <c r="W196">
        <f>Source!Q165</f>
        <v>0</v>
      </c>
      <c r="X196">
        <f>Source!R165</f>
        <v>0</v>
      </c>
      <c r="Y196">
        <f>Source!U165</f>
        <v>0</v>
      </c>
      <c r="Z196">
        <f>Source!V165</f>
        <v>0</v>
      </c>
      <c r="AA196">
        <f>Source!X165</f>
        <v>0</v>
      </c>
      <c r="AB196">
        <f>Source!Y165</f>
        <v>0</v>
      </c>
    </row>
    <row r="197" spans="1:32" x14ac:dyDescent="0.2">
      <c r="A197" s="81"/>
      <c r="B197" s="34"/>
      <c r="C197" s="35" t="s">
        <v>932</v>
      </c>
      <c r="D197" s="83"/>
      <c r="E197" s="36"/>
      <c r="F197" s="28"/>
      <c r="G197" s="37"/>
      <c r="H197" s="83"/>
      <c r="I197" s="28"/>
      <c r="J197" s="28"/>
      <c r="K197" s="28"/>
      <c r="L197" s="62"/>
    </row>
    <row r="198" spans="1:32" x14ac:dyDescent="0.2">
      <c r="A198" s="73"/>
      <c r="B198" s="74"/>
      <c r="C198" s="74"/>
      <c r="D198" s="74"/>
      <c r="E198" s="74"/>
      <c r="F198" s="74"/>
      <c r="G198" s="74"/>
      <c r="H198" s="74"/>
      <c r="I198" s="74"/>
      <c r="J198" s="74"/>
      <c r="K198" s="75"/>
      <c r="L198" s="62"/>
    </row>
    <row r="199" spans="1:32" ht="36" x14ac:dyDescent="0.2">
      <c r="A199" s="80" t="str">
        <f>Source!E166</f>
        <v>34</v>
      </c>
      <c r="B199" s="32" t="s">
        <v>845</v>
      </c>
      <c r="C199" s="33" t="str">
        <f>CONCATENATE(Source!G166, ", ",Source!DW166)</f>
        <v>Грунтовка акриловая ВД-АК-133, т</v>
      </c>
      <c r="D199" s="82">
        <f>ROUND(Source!I166,6)</f>
        <v>3.107E-3</v>
      </c>
      <c r="E199" s="29">
        <f>ROUND(Source!AC166,2)</f>
        <v>11594.98</v>
      </c>
      <c r="F199" s="28"/>
      <c r="G199" s="30">
        <f>ROUND(Source!O166,0)</f>
        <v>36</v>
      </c>
      <c r="H199" s="82"/>
      <c r="I199" s="28"/>
      <c r="J199" s="28"/>
      <c r="K199" s="28"/>
      <c r="L199" s="62"/>
      <c r="T199">
        <f>Source!O166</f>
        <v>36</v>
      </c>
      <c r="U199">
        <f>Source!P166</f>
        <v>36</v>
      </c>
      <c r="V199">
        <f>Source!S166</f>
        <v>0</v>
      </c>
      <c r="W199">
        <f>Source!Q166</f>
        <v>0</v>
      </c>
      <c r="X199">
        <f>Source!R166</f>
        <v>0</v>
      </c>
      <c r="Y199">
        <f>Source!U166</f>
        <v>0</v>
      </c>
      <c r="Z199">
        <f>Source!V166</f>
        <v>0</v>
      </c>
      <c r="AA199">
        <f>Source!X166</f>
        <v>0</v>
      </c>
      <c r="AB199">
        <f>Source!Y166</f>
        <v>0</v>
      </c>
    </row>
    <row r="200" spans="1:32" x14ac:dyDescent="0.2">
      <c r="A200" s="81"/>
      <c r="B200" s="34"/>
      <c r="C200" s="35" t="s">
        <v>933</v>
      </c>
      <c r="D200" s="83"/>
      <c r="E200" s="36"/>
      <c r="F200" s="28"/>
      <c r="G200" s="37"/>
      <c r="H200" s="83"/>
      <c r="I200" s="28"/>
      <c r="J200" s="28"/>
      <c r="K200" s="28"/>
      <c r="L200" s="62"/>
    </row>
    <row r="201" spans="1:32" x14ac:dyDescent="0.2">
      <c r="A201" s="73"/>
      <c r="B201" s="74"/>
      <c r="C201" s="74"/>
      <c r="D201" s="74"/>
      <c r="E201" s="74"/>
      <c r="F201" s="74"/>
      <c r="G201" s="74"/>
      <c r="H201" s="74"/>
      <c r="I201" s="74"/>
      <c r="J201" s="74"/>
      <c r="K201" s="75"/>
      <c r="L201" s="62"/>
    </row>
    <row r="202" spans="1:32" ht="48" x14ac:dyDescent="0.2">
      <c r="A202" s="80" t="str">
        <f>Source!E167</f>
        <v>35</v>
      </c>
      <c r="B202" s="32" t="s">
        <v>934</v>
      </c>
      <c r="C202" s="33" t="str">
        <f>CONCATENATE(Source!G167, ", ",Source!DW167)</f>
        <v>Окраска поливинилацетатными водоэмульсионными составами простая по штукатурке и сборным конструкциям: потолков, подготовленным под окраску, 100 м2</v>
      </c>
      <c r="D202" s="82">
        <f>ROUND(Source!I167,6)</f>
        <v>0.23899999999999999</v>
      </c>
      <c r="E202" s="29">
        <f>ROUND(Source!AB167,2)</f>
        <v>214.33</v>
      </c>
      <c r="F202" s="29">
        <f>ROUND(Source!AD167,2)</f>
        <v>7.78</v>
      </c>
      <c r="G202" s="84">
        <f>ROUND(Source!O167,0)</f>
        <v>51</v>
      </c>
      <c r="H202" s="84">
        <f>ROUND(Source!S167,0)</f>
        <v>38</v>
      </c>
      <c r="I202" s="30">
        <f>ROUND(Source!Q167,0)</f>
        <v>2</v>
      </c>
      <c r="J202" s="28">
        <f>ROUND(Source!AH167,6)</f>
        <v>17.71</v>
      </c>
      <c r="K202" s="31">
        <f>ROUND(Source!U167,6)</f>
        <v>4.2326899999999998</v>
      </c>
      <c r="L202" s="62"/>
      <c r="T202">
        <f>Source!O167</f>
        <v>51</v>
      </c>
      <c r="U202">
        <f>Source!P167</f>
        <v>11</v>
      </c>
      <c r="V202">
        <f>Source!S167</f>
        <v>38</v>
      </c>
      <c r="W202">
        <f>Source!Q167</f>
        <v>2</v>
      </c>
      <c r="X202">
        <f>Source!R167</f>
        <v>0</v>
      </c>
      <c r="Y202">
        <f>Source!U167</f>
        <v>4.232689999999999</v>
      </c>
      <c r="Z202">
        <f>Source!V167</f>
        <v>2.9874999999999999E-2</v>
      </c>
      <c r="AA202">
        <f>Source!X167</f>
        <v>38</v>
      </c>
      <c r="AB202">
        <f>Source!Y167</f>
        <v>16</v>
      </c>
    </row>
    <row r="203" spans="1:32" ht="48" x14ac:dyDescent="0.2">
      <c r="A203" s="81"/>
      <c r="B203" s="38" t="s">
        <v>267</v>
      </c>
      <c r="C203" s="35" t="s">
        <v>929</v>
      </c>
      <c r="D203" s="83"/>
      <c r="E203" s="29">
        <f>ROUND(Source!AF167,2)</f>
        <v>158.86000000000001</v>
      </c>
      <c r="F203" s="29">
        <f>ROUND(Source!AE167,2)</f>
        <v>1.48</v>
      </c>
      <c r="G203" s="85"/>
      <c r="H203" s="85"/>
      <c r="I203" s="30">
        <f>ROUND(Source!R167,0)</f>
        <v>0</v>
      </c>
      <c r="J203" s="28">
        <f>ROUND(Source!AI167,6)</f>
        <v>0.125</v>
      </c>
      <c r="K203" s="31">
        <f>ROUND(Source!V167,6)</f>
        <v>2.9874999999999999E-2</v>
      </c>
      <c r="L203" s="62"/>
    </row>
    <row r="204" spans="1:32" x14ac:dyDescent="0.2">
      <c r="A204" s="54"/>
      <c r="B204" s="54"/>
      <c r="C204" s="78" t="s">
        <v>935</v>
      </c>
      <c r="D204" s="78"/>
      <c r="E204" s="78"/>
      <c r="F204" s="78"/>
      <c r="G204" s="78"/>
      <c r="H204" s="78"/>
      <c r="I204" s="78"/>
      <c r="J204" s="78"/>
      <c r="K204" s="78"/>
      <c r="L204" s="62"/>
    </row>
    <row r="205" spans="1:32" x14ac:dyDescent="0.2">
      <c r="A205" s="54"/>
      <c r="B205" s="54"/>
      <c r="C205" s="78" t="s">
        <v>936</v>
      </c>
      <c r="D205" s="78"/>
      <c r="E205" s="78"/>
      <c r="F205" s="78"/>
      <c r="G205" s="78"/>
      <c r="H205" s="78"/>
      <c r="I205" s="78"/>
      <c r="J205" s="78"/>
      <c r="K205" s="78"/>
      <c r="L205" s="62"/>
    </row>
    <row r="206" spans="1:32" x14ac:dyDescent="0.2">
      <c r="A206" s="54"/>
      <c r="B206" s="54"/>
      <c r="C206" s="79" t="s">
        <v>937</v>
      </c>
      <c r="D206" s="78"/>
      <c r="E206" s="78"/>
      <c r="F206" s="78"/>
      <c r="G206" s="78"/>
      <c r="H206" s="78"/>
      <c r="I206" s="78"/>
      <c r="J206" s="78"/>
      <c r="K206" s="78"/>
      <c r="L206" s="62"/>
    </row>
    <row r="207" spans="1:32" ht="48" x14ac:dyDescent="0.2">
      <c r="A207" s="54"/>
      <c r="B207" s="54"/>
      <c r="C207" s="78" t="str">
        <f>Source!CN167</f>
        <v>Поправка: М-ка 421/пр 04.08.20 п.58 п.п. б)  Наименование: При отсутствии необходимых норм (единичных расценок), включенных в сборники ГЭСНр (ФЕРр, ТЕРр), сметные затраты на работы по капитальному ремонту и реконструкции объектов капитального строительства могут быть определены по сметным нормам, включенным в ГЭСН (ФЕР, ТЕР), аналогичным технологическим процессам в новом строительстве, в том числе по возведению новых конструктивных элементов</v>
      </c>
      <c r="D207" s="78"/>
      <c r="E207" s="78"/>
      <c r="F207" s="78"/>
      <c r="G207" s="78"/>
      <c r="H207" s="78"/>
      <c r="I207" s="78"/>
      <c r="J207" s="78"/>
      <c r="K207" s="78"/>
      <c r="L207" s="62"/>
      <c r="AF207" s="33" t="str">
        <f>Source!CN167</f>
        <v>Поправка: М-ка 421/пр 04.08.20 п.58 п.п. б)  Наименование: При отсутствии необходимых норм (единичных расценок), включенных в сборники ГЭСНр (ФЕРр, ТЕРр), сметные затраты на работы по капитальному ремонту и реконструкции объектов капитального строительства могут быть определены по сметным нормам, включенным в ГЭСН (ФЕР, ТЕР), аналогичным технологическим процессам в новом строительстве, в том числе по возведению новых конструктивных элементов</v>
      </c>
    </row>
    <row r="208" spans="1:32" x14ac:dyDescent="0.2">
      <c r="A208" s="73"/>
      <c r="B208" s="74"/>
      <c r="C208" s="74"/>
      <c r="D208" s="74"/>
      <c r="E208" s="74"/>
      <c r="F208" s="74"/>
      <c r="G208" s="74"/>
      <c r="H208" s="74"/>
      <c r="I208" s="74"/>
      <c r="J208" s="74"/>
      <c r="K208" s="75"/>
      <c r="L208" s="62"/>
    </row>
    <row r="209" spans="1:30" ht="36" x14ac:dyDescent="0.2">
      <c r="A209" s="80" t="str">
        <f>Source!E168</f>
        <v>36</v>
      </c>
      <c r="B209" s="32" t="s">
        <v>851</v>
      </c>
      <c r="C209" s="33" t="str">
        <f>CONCATENATE(Source!G168, ", ",Source!DW168)</f>
        <v>Краска водоэмульсионная для внутренних работ ВАК-10, т</v>
      </c>
      <c r="D209" s="82">
        <f>ROUND(Source!I168,6)</f>
        <v>1.2428E-2</v>
      </c>
      <c r="E209" s="29">
        <f>ROUND(Source!AC168,2)</f>
        <v>14837.58</v>
      </c>
      <c r="F209" s="28"/>
      <c r="G209" s="30">
        <f>ROUND(Source!O168,0)</f>
        <v>184</v>
      </c>
      <c r="H209" s="82"/>
      <c r="I209" s="28"/>
      <c r="J209" s="28"/>
      <c r="K209" s="28"/>
      <c r="L209" s="62"/>
      <c r="T209">
        <f>Source!O168</f>
        <v>184</v>
      </c>
      <c r="U209">
        <f>Source!P168</f>
        <v>184</v>
      </c>
      <c r="V209">
        <f>Source!S168</f>
        <v>0</v>
      </c>
      <c r="W209">
        <f>Source!Q168</f>
        <v>0</v>
      </c>
      <c r="X209">
        <f>Source!R168</f>
        <v>0</v>
      </c>
      <c r="Y209">
        <f>Source!U168</f>
        <v>0</v>
      </c>
      <c r="Z209">
        <f>Source!V168</f>
        <v>0</v>
      </c>
      <c r="AA209">
        <f>Source!X168</f>
        <v>0</v>
      </c>
      <c r="AB209">
        <f>Source!Y168</f>
        <v>0</v>
      </c>
    </row>
    <row r="210" spans="1:30" x14ac:dyDescent="0.2">
      <c r="A210" s="81"/>
      <c r="B210" s="34"/>
      <c r="C210" s="35" t="s">
        <v>938</v>
      </c>
      <c r="D210" s="83"/>
      <c r="E210" s="36"/>
      <c r="F210" s="28"/>
      <c r="G210" s="37"/>
      <c r="H210" s="83"/>
      <c r="I210" s="28"/>
      <c r="J210" s="28"/>
      <c r="K210" s="28"/>
      <c r="L210" s="62"/>
    </row>
    <row r="211" spans="1:30" x14ac:dyDescent="0.2">
      <c r="A211" s="73"/>
      <c r="B211" s="74"/>
      <c r="C211" s="74"/>
      <c r="D211" s="74"/>
      <c r="E211" s="74"/>
      <c r="F211" s="74"/>
      <c r="G211" s="74"/>
      <c r="H211" s="74"/>
      <c r="I211" s="74"/>
      <c r="J211" s="74"/>
      <c r="K211" s="75"/>
      <c r="L211" s="62"/>
    </row>
    <row r="212" spans="1:30" x14ac:dyDescent="0.2">
      <c r="A212" s="65" t="str">
        <f>"ИТОГО ПО СМЕТЕ (без НР и СП)"</f>
        <v>ИТОГО ПО СМЕТЕ (без НР и СП)</v>
      </c>
      <c r="B212" s="66"/>
      <c r="C212" s="66"/>
      <c r="D212" s="66"/>
      <c r="E212" s="66"/>
      <c r="F212" s="67"/>
      <c r="G212" s="76">
        <f>IF(SUM(T30:T212)=0, "-", SUM(T30:T212))</f>
        <v>16325</v>
      </c>
      <c r="H212" s="76">
        <f>IF(SUM(V30:V212)=0, "-", SUM(V30:V212))</f>
        <v>1846</v>
      </c>
      <c r="I212" s="40">
        <f>IF(SUM(W30:W212)=0, "-", SUM(W30:W212))</f>
        <v>375</v>
      </c>
      <c r="J212" s="39"/>
      <c r="K212" s="41">
        <v>212.77353600000001</v>
      </c>
      <c r="L212" s="62"/>
    </row>
    <row r="213" spans="1:30" x14ac:dyDescent="0.2">
      <c r="A213" s="68"/>
      <c r="B213" s="69"/>
      <c r="C213" s="69"/>
      <c r="D213" s="69"/>
      <c r="E213" s="69"/>
      <c r="F213" s="70"/>
      <c r="G213" s="77"/>
      <c r="H213" s="77"/>
      <c r="I213" s="40">
        <f>IF(SUM(X30:X212)=0, "-", SUM(X30:X212))</f>
        <v>35</v>
      </c>
      <c r="J213" s="39"/>
      <c r="K213" s="41">
        <v>3.0041790000000002</v>
      </c>
      <c r="L213" s="62"/>
    </row>
    <row r="214" spans="1:30" x14ac:dyDescent="0.2">
      <c r="A214" s="65" t="str">
        <f>Source!H237</f>
        <v>СТОИМОСТЬ МОНТАЖНЫХ РАБОТ</v>
      </c>
      <c r="B214" s="66"/>
      <c r="C214" s="66"/>
      <c r="D214" s="66"/>
      <c r="E214" s="66"/>
      <c r="F214" s="67"/>
      <c r="G214" s="71">
        <f>Source!F237</f>
        <v>131</v>
      </c>
      <c r="H214" s="46">
        <v>57</v>
      </c>
      <c r="I214" s="46">
        <v>1</v>
      </c>
      <c r="J214" s="47"/>
      <c r="K214" s="48">
        <v>6.0511619999999997</v>
      </c>
      <c r="L214" s="62"/>
    </row>
    <row r="215" spans="1:30" x14ac:dyDescent="0.2">
      <c r="A215" s="68"/>
      <c r="B215" s="69"/>
      <c r="C215" s="69"/>
      <c r="D215" s="69"/>
      <c r="E215" s="69"/>
      <c r="F215" s="70"/>
      <c r="G215" s="72"/>
      <c r="H215" s="46"/>
      <c r="I215" s="46">
        <v>0</v>
      </c>
      <c r="J215" s="47"/>
      <c r="K215" s="48">
        <v>8.9700000000000005E-3</v>
      </c>
      <c r="L215" s="62"/>
    </row>
    <row r="216" spans="1:30" x14ac:dyDescent="0.2">
      <c r="A216" s="63" t="str">
        <f>Source!H239</f>
        <v>МАТЕРИАЛЬНЫЕ РЕСУРСЫ, НЕ УЧТЕННЫЕ В РАСЦЕНКАХ</v>
      </c>
      <c r="B216" s="63"/>
      <c r="C216" s="63"/>
      <c r="D216" s="63"/>
      <c r="E216" s="63"/>
      <c r="F216" s="63"/>
      <c r="G216" s="42">
        <f>Source!F239</f>
        <v>59</v>
      </c>
      <c r="H216" s="42"/>
      <c r="I216" s="42"/>
      <c r="J216" s="43"/>
      <c r="K216" s="44"/>
      <c r="L216" s="62"/>
    </row>
    <row r="217" spans="1:30" x14ac:dyDescent="0.2">
      <c r="A217" s="63" t="s">
        <v>939</v>
      </c>
      <c r="B217" s="63"/>
      <c r="C217" s="63"/>
      <c r="D217" s="63"/>
      <c r="E217" s="63"/>
      <c r="F217" s="63"/>
      <c r="G217" s="42">
        <f>Source!F246</f>
        <v>56</v>
      </c>
      <c r="H217" s="42"/>
      <c r="I217" s="42"/>
      <c r="J217" s="43"/>
      <c r="K217" s="44"/>
      <c r="L217" s="62"/>
    </row>
    <row r="218" spans="1:30" x14ac:dyDescent="0.2">
      <c r="A218" s="63" t="s">
        <v>940</v>
      </c>
      <c r="B218" s="63"/>
      <c r="C218" s="63"/>
      <c r="D218" s="63"/>
      <c r="E218" s="63"/>
      <c r="F218" s="63"/>
      <c r="G218" s="42">
        <f>Source!F247</f>
        <v>29</v>
      </c>
      <c r="H218" s="42"/>
      <c r="I218" s="42"/>
      <c r="J218" s="43"/>
      <c r="K218" s="44"/>
      <c r="L218" s="62"/>
    </row>
    <row r="219" spans="1:30" x14ac:dyDescent="0.2">
      <c r="A219" s="63" t="str">
        <f>Source!H248</f>
        <v>ВСЕГО, СТОИМОСТЬ МОНТАЖНЫХ РАБОТ</v>
      </c>
      <c r="B219" s="63"/>
      <c r="C219" s="63"/>
      <c r="D219" s="63"/>
      <c r="E219" s="63"/>
      <c r="F219" s="63"/>
      <c r="G219" s="42">
        <f>Source!F248</f>
        <v>216</v>
      </c>
      <c r="H219" s="42"/>
      <c r="I219" s="42"/>
      <c r="J219" s="43"/>
      <c r="K219" s="44"/>
      <c r="L219" s="62"/>
    </row>
    <row r="220" spans="1:30" x14ac:dyDescent="0.2">
      <c r="A220" s="65" t="str">
        <f>Source!H249</f>
        <v>СТОИМОСТЬ ОБЩЕСТРОИТЕЛЬНЫХ РАБОТ</v>
      </c>
      <c r="B220" s="66"/>
      <c r="C220" s="66"/>
      <c r="D220" s="66"/>
      <c r="E220" s="66"/>
      <c r="F220" s="67"/>
      <c r="G220" s="71">
        <f>Source!F249</f>
        <v>14554</v>
      </c>
      <c r="H220" s="46">
        <v>594</v>
      </c>
      <c r="I220" s="46">
        <v>87</v>
      </c>
      <c r="J220" s="47"/>
      <c r="K220" s="48">
        <v>68.219823000000005</v>
      </c>
      <c r="L220" s="62"/>
    </row>
    <row r="221" spans="1:30" x14ac:dyDescent="0.2">
      <c r="A221" s="68"/>
      <c r="B221" s="69"/>
      <c r="C221" s="69"/>
      <c r="D221" s="69"/>
      <c r="E221" s="69"/>
      <c r="F221" s="70"/>
      <c r="G221" s="72"/>
      <c r="H221" s="46"/>
      <c r="I221" s="46">
        <v>10</v>
      </c>
      <c r="J221" s="47"/>
      <c r="K221" s="48">
        <v>0.87857499999999999</v>
      </c>
      <c r="L221" s="62"/>
    </row>
    <row r="222" spans="1:30" x14ac:dyDescent="0.2">
      <c r="A222" s="63" t="str">
        <f>Source!H251</f>
        <v>МАТЕРИАЛЬНЫЕ РЕСУРСЫ, НЕ УЧТЕННЫЕ В РАСЦЕНКАХ</v>
      </c>
      <c r="B222" s="63"/>
      <c r="C222" s="63"/>
      <c r="D222" s="63"/>
      <c r="E222" s="63"/>
      <c r="F222" s="63"/>
      <c r="G222" s="42">
        <f>Source!F251</f>
        <v>13613</v>
      </c>
      <c r="H222" s="42"/>
      <c r="I222" s="42"/>
      <c r="J222" s="43"/>
      <c r="K222" s="44"/>
      <c r="L222" s="62"/>
    </row>
    <row r="223" spans="1:30" x14ac:dyDescent="0.2">
      <c r="A223" s="63" t="s">
        <v>941</v>
      </c>
      <c r="B223" s="63"/>
      <c r="C223" s="63"/>
      <c r="D223" s="63"/>
      <c r="E223" s="63"/>
      <c r="F223" s="63"/>
      <c r="G223" s="42">
        <f>Source!F258</f>
        <v>642</v>
      </c>
      <c r="H223" s="42"/>
      <c r="I223" s="42"/>
      <c r="J223" s="43"/>
      <c r="K223" s="44"/>
      <c r="L223" s="62"/>
      <c r="AD223" s="45" t="s">
        <v>941</v>
      </c>
    </row>
    <row r="224" spans="1:30" x14ac:dyDescent="0.2">
      <c r="A224" s="63" t="s">
        <v>942</v>
      </c>
      <c r="B224" s="63"/>
      <c r="C224" s="63"/>
      <c r="D224" s="63"/>
      <c r="E224" s="63"/>
      <c r="F224" s="63"/>
      <c r="G224" s="42">
        <f>Source!F259</f>
        <v>297</v>
      </c>
      <c r="H224" s="42"/>
      <c r="I224" s="42"/>
      <c r="J224" s="43"/>
      <c r="K224" s="44"/>
      <c r="L224" s="62"/>
      <c r="AD224" s="45" t="s">
        <v>942</v>
      </c>
    </row>
    <row r="225" spans="1:30" x14ac:dyDescent="0.2">
      <c r="A225" s="63" t="str">
        <f>Source!H260</f>
        <v>ВСЕГО, СТОИМОСТЬ ОБЩЕСТРОИТЕЛЬНЫХ РАБОТ</v>
      </c>
      <c r="B225" s="63"/>
      <c r="C225" s="63"/>
      <c r="D225" s="63"/>
      <c r="E225" s="63"/>
      <c r="F225" s="63"/>
      <c r="G225" s="42">
        <f>Source!F260</f>
        <v>15493</v>
      </c>
      <c r="H225" s="42"/>
      <c r="I225" s="42"/>
      <c r="J225" s="43"/>
      <c r="K225" s="44"/>
      <c r="L225" s="62"/>
    </row>
    <row r="226" spans="1:30" x14ac:dyDescent="0.2">
      <c r="A226" s="65" t="str">
        <f>Source!H261</f>
        <v>СТОИМОСТЬ РЕМОНТНО_СТРОИТЕЛЬНЫХ РАБОТ</v>
      </c>
      <c r="B226" s="66"/>
      <c r="C226" s="66"/>
      <c r="D226" s="66"/>
      <c r="E226" s="66"/>
      <c r="F226" s="67"/>
      <c r="G226" s="71">
        <f>Source!F261</f>
        <v>1234</v>
      </c>
      <c r="H226" s="46">
        <v>923</v>
      </c>
      <c r="I226" s="46">
        <v>253</v>
      </c>
      <c r="J226" s="47"/>
      <c r="K226" s="48">
        <v>107.530466</v>
      </c>
      <c r="L226" s="62"/>
    </row>
    <row r="227" spans="1:30" x14ac:dyDescent="0.2">
      <c r="A227" s="68"/>
      <c r="B227" s="69"/>
      <c r="C227" s="69"/>
      <c r="D227" s="69"/>
      <c r="E227" s="69"/>
      <c r="F227" s="70"/>
      <c r="G227" s="72"/>
      <c r="H227" s="46"/>
      <c r="I227" s="46">
        <v>22</v>
      </c>
      <c r="J227" s="47"/>
      <c r="K227" s="48">
        <v>1.860584</v>
      </c>
      <c r="L227" s="62"/>
    </row>
    <row r="228" spans="1:30" ht="24" x14ac:dyDescent="0.2">
      <c r="A228" s="63" t="s">
        <v>943</v>
      </c>
      <c r="B228" s="63"/>
      <c r="C228" s="63"/>
      <c r="D228" s="63"/>
      <c r="E228" s="63"/>
      <c r="F228" s="63"/>
      <c r="G228" s="42">
        <f>Source!F270</f>
        <v>871</v>
      </c>
      <c r="H228" s="42"/>
      <c r="I228" s="42"/>
      <c r="J228" s="43"/>
      <c r="K228" s="44"/>
      <c r="L228" s="62"/>
      <c r="AD228" s="45" t="s">
        <v>943</v>
      </c>
    </row>
    <row r="229" spans="1:30" x14ac:dyDescent="0.2">
      <c r="A229" s="63" t="s">
        <v>944</v>
      </c>
      <c r="B229" s="63"/>
      <c r="C229" s="63"/>
      <c r="D229" s="63"/>
      <c r="E229" s="63"/>
      <c r="F229" s="63"/>
      <c r="G229" s="42">
        <f>Source!F271</f>
        <v>429</v>
      </c>
      <c r="H229" s="42"/>
      <c r="I229" s="42"/>
      <c r="J229" s="43"/>
      <c r="K229" s="44"/>
      <c r="L229" s="62"/>
      <c r="AD229" s="45" t="s">
        <v>944</v>
      </c>
    </row>
    <row r="230" spans="1:30" x14ac:dyDescent="0.2">
      <c r="A230" s="63" t="str">
        <f>Source!H272</f>
        <v>ВСЕГО, СТОИМОСТЬ РЕМОНТНО_СТРОИТЕЛЬНЫХ РАБОТ</v>
      </c>
      <c r="B230" s="63"/>
      <c r="C230" s="63"/>
      <c r="D230" s="63"/>
      <c r="E230" s="63"/>
      <c r="F230" s="63"/>
      <c r="G230" s="42">
        <f>Source!F272</f>
        <v>2534</v>
      </c>
      <c r="H230" s="42"/>
      <c r="I230" s="42"/>
      <c r="J230" s="43"/>
      <c r="K230" s="44"/>
      <c r="L230" s="62"/>
    </row>
    <row r="231" spans="1:30" x14ac:dyDescent="0.2">
      <c r="A231" s="65" t="str">
        <f>Source!H297</f>
        <v>СТОИМОСТЬ САНТЕХНИЧЕСКИХ РАБОТ</v>
      </c>
      <c r="B231" s="66"/>
      <c r="C231" s="66"/>
      <c r="D231" s="66"/>
      <c r="E231" s="66"/>
      <c r="F231" s="67"/>
      <c r="G231" s="71">
        <f>Source!F297</f>
        <v>406</v>
      </c>
      <c r="H231" s="46">
        <v>272</v>
      </c>
      <c r="I231" s="46">
        <v>34</v>
      </c>
      <c r="J231" s="47"/>
      <c r="K231" s="48">
        <v>30.972085</v>
      </c>
      <c r="L231" s="62"/>
    </row>
    <row r="232" spans="1:30" x14ac:dyDescent="0.2">
      <c r="A232" s="68"/>
      <c r="B232" s="69"/>
      <c r="C232" s="69"/>
      <c r="D232" s="69"/>
      <c r="E232" s="69"/>
      <c r="F232" s="70"/>
      <c r="G232" s="72"/>
      <c r="H232" s="46"/>
      <c r="I232" s="46">
        <v>3</v>
      </c>
      <c r="J232" s="47"/>
      <c r="K232" s="48">
        <v>0.25605</v>
      </c>
      <c r="L232" s="62"/>
    </row>
    <row r="233" spans="1:30" x14ac:dyDescent="0.2">
      <c r="A233" s="63" t="s">
        <v>945</v>
      </c>
      <c r="B233" s="63"/>
      <c r="C233" s="63"/>
      <c r="D233" s="63"/>
      <c r="E233" s="63"/>
      <c r="F233" s="63"/>
      <c r="G233" s="42">
        <f>Source!F306</f>
        <v>335</v>
      </c>
      <c r="H233" s="42"/>
      <c r="I233" s="42"/>
      <c r="J233" s="43"/>
      <c r="K233" s="44"/>
      <c r="L233" s="62"/>
    </row>
    <row r="234" spans="1:30" x14ac:dyDescent="0.2">
      <c r="A234" s="63" t="s">
        <v>946</v>
      </c>
      <c r="B234" s="63"/>
      <c r="C234" s="63"/>
      <c r="D234" s="63"/>
      <c r="E234" s="63"/>
      <c r="F234" s="63"/>
      <c r="G234" s="42">
        <f>Source!F307</f>
        <v>190</v>
      </c>
      <c r="H234" s="42"/>
      <c r="I234" s="42"/>
      <c r="J234" s="43"/>
      <c r="K234" s="44"/>
      <c r="L234" s="62"/>
    </row>
    <row r="235" spans="1:30" x14ac:dyDescent="0.2">
      <c r="A235" s="63" t="str">
        <f>Source!H308</f>
        <v>ВСЕГО, СТОИМОСТЬ САНТЕХНИЧЕСКИХ РАБОТ</v>
      </c>
      <c r="B235" s="63"/>
      <c r="C235" s="63"/>
      <c r="D235" s="63"/>
      <c r="E235" s="63"/>
      <c r="F235" s="63"/>
      <c r="G235" s="42">
        <f>Source!F308</f>
        <v>931</v>
      </c>
      <c r="H235" s="42"/>
      <c r="I235" s="42"/>
      <c r="J235" s="43"/>
      <c r="K235" s="44"/>
      <c r="L235" s="62"/>
    </row>
    <row r="236" spans="1:30" x14ac:dyDescent="0.2">
      <c r="A236" s="63" t="str">
        <f>Source!H358</f>
        <v>МАТЕРИАЛЫ</v>
      </c>
      <c r="B236" s="63"/>
      <c r="C236" s="63"/>
      <c r="D236" s="63"/>
      <c r="E236" s="63"/>
      <c r="F236" s="63"/>
      <c r="G236" s="42">
        <f>Source!F358</f>
        <v>13613</v>
      </c>
      <c r="H236" s="42"/>
      <c r="I236" s="42"/>
      <c r="J236" s="43"/>
      <c r="K236" s="44"/>
      <c r="L236" s="62"/>
    </row>
    <row r="237" spans="1:30" x14ac:dyDescent="0.2">
      <c r="A237" s="63" t="str">
        <f>Source!H362</f>
        <v>ВСЕГО ПО СМЕТЕ</v>
      </c>
      <c r="B237" s="63"/>
      <c r="C237" s="63"/>
      <c r="D237" s="63"/>
      <c r="E237" s="63"/>
      <c r="F237" s="63"/>
      <c r="G237" s="42">
        <f>Source!F362</f>
        <v>19174</v>
      </c>
      <c r="H237" s="42"/>
      <c r="I237" s="42"/>
      <c r="J237" s="43"/>
      <c r="K237" s="44"/>
      <c r="L237" s="62"/>
    </row>
    <row r="238" spans="1:30" x14ac:dyDescent="0.2">
      <c r="A238" s="63" t="str">
        <f>Source!H364</f>
        <v>ВСЕГО НАКЛАДНЫЕ РАСХОДЫ</v>
      </c>
      <c r="B238" s="63"/>
      <c r="C238" s="63"/>
      <c r="D238" s="63"/>
      <c r="E238" s="63"/>
      <c r="F238" s="63"/>
      <c r="G238" s="42">
        <f>Source!F364</f>
        <v>1904</v>
      </c>
      <c r="H238" s="42"/>
      <c r="I238" s="42"/>
      <c r="J238" s="43"/>
      <c r="K238" s="44"/>
      <c r="L238" s="62"/>
    </row>
    <row r="239" spans="1:30" x14ac:dyDescent="0.2">
      <c r="A239" s="63" t="str">
        <f>Source!H365</f>
        <v>ВСЕГО СМЕТНАЯ ПРИБЫЛЬ</v>
      </c>
      <c r="B239" s="63"/>
      <c r="C239" s="63"/>
      <c r="D239" s="63"/>
      <c r="E239" s="63"/>
      <c r="F239" s="63"/>
      <c r="G239" s="42">
        <f>Source!F365</f>
        <v>945</v>
      </c>
      <c r="H239" s="42"/>
      <c r="I239" s="42"/>
      <c r="J239" s="43"/>
      <c r="K239" s="44"/>
      <c r="L239" s="62"/>
    </row>
    <row r="240" spans="1:30" x14ac:dyDescent="0.2">
      <c r="A240" s="63" t="str">
        <f>Source!H367</f>
        <v>Оплата основных рабочих</v>
      </c>
      <c r="B240" s="63"/>
      <c r="C240" s="63"/>
      <c r="D240" s="63"/>
      <c r="E240" s="63"/>
      <c r="F240" s="63"/>
      <c r="G240" s="42">
        <f>Source!F367</f>
        <v>1846</v>
      </c>
      <c r="H240" s="42"/>
      <c r="I240" s="42"/>
      <c r="J240" s="43"/>
      <c r="K240" s="44"/>
      <c r="L240" s="62"/>
    </row>
    <row r="241" spans="1:12" x14ac:dyDescent="0.2">
      <c r="A241" s="63" t="str">
        <f>Source!H369</f>
        <v>Оплата механизаторов</v>
      </c>
      <c r="B241" s="63"/>
      <c r="C241" s="63"/>
      <c r="D241" s="63"/>
      <c r="E241" s="63"/>
      <c r="F241" s="63"/>
      <c r="G241" s="42">
        <f>Source!F369</f>
        <v>35</v>
      </c>
      <c r="H241" s="42"/>
      <c r="I241" s="42"/>
      <c r="J241" s="43"/>
      <c r="K241" s="44"/>
      <c r="L241" s="62"/>
    </row>
    <row r="242" spans="1:12" x14ac:dyDescent="0.2">
      <c r="A242" s="63" t="str">
        <f>Source!H371</f>
        <v>Трудозатраты осн. рабочих</v>
      </c>
      <c r="B242" s="63"/>
      <c r="C242" s="63"/>
      <c r="D242" s="63"/>
      <c r="E242" s="63"/>
      <c r="F242" s="63"/>
      <c r="G242" s="42"/>
      <c r="H242" s="42"/>
      <c r="I242" s="42"/>
      <c r="J242" s="43"/>
      <c r="K242" s="44">
        <v>212.77353600000001</v>
      </c>
      <c r="L242" s="62"/>
    </row>
    <row r="243" spans="1:12" x14ac:dyDescent="0.2">
      <c r="A243" s="63" t="str">
        <f>Source!H372</f>
        <v>Трудозатраты механизаторов</v>
      </c>
      <c r="B243" s="63"/>
      <c r="C243" s="63"/>
      <c r="D243" s="63"/>
      <c r="E243" s="63"/>
      <c r="F243" s="63"/>
      <c r="G243" s="42"/>
      <c r="H243" s="42"/>
      <c r="I243" s="42"/>
      <c r="J243" s="43"/>
      <c r="K243" s="44">
        <v>3.0041790000000002</v>
      </c>
      <c r="L243" s="62"/>
    </row>
    <row r="244" spans="1:12" x14ac:dyDescent="0.2">
      <c r="A244" s="63" t="str">
        <f>Source!H373</f>
        <v>Нормативная трудоемкость</v>
      </c>
      <c r="B244" s="63"/>
      <c r="C244" s="63"/>
      <c r="D244" s="63"/>
      <c r="E244" s="63"/>
      <c r="F244" s="63"/>
      <c r="G244" s="42"/>
      <c r="H244" s="42"/>
      <c r="I244" s="42"/>
      <c r="J244" s="43"/>
      <c r="K244" s="44">
        <v>215.774179</v>
      </c>
      <c r="L244" s="62"/>
    </row>
    <row r="245" spans="1:12" x14ac:dyDescent="0.2">
      <c r="A245" s="8"/>
      <c r="B245" s="8"/>
      <c r="C245" s="8"/>
      <c r="D245" s="8"/>
      <c r="E245" s="8"/>
      <c r="F245" s="8"/>
      <c r="G245" s="55"/>
      <c r="H245" s="55"/>
      <c r="I245" s="55"/>
      <c r="J245" s="8"/>
      <c r="K245" s="56"/>
    </row>
    <row r="246" spans="1:12" x14ac:dyDescent="0.2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</row>
    <row r="247" spans="1:12" x14ac:dyDescent="0.2">
      <c r="A247" s="57"/>
      <c r="B247" s="49" t="s">
        <v>947</v>
      </c>
      <c r="C247" s="50" t="str">
        <f>Source!AB12</f>
        <v/>
      </c>
      <c r="D247" s="51"/>
      <c r="E247" s="51"/>
      <c r="F247" s="51"/>
      <c r="G247" s="51"/>
      <c r="H247" s="51"/>
      <c r="I247" s="52" t="str">
        <f>Source!AC12</f>
        <v/>
      </c>
      <c r="J247" s="53"/>
      <c r="K247" s="53"/>
    </row>
    <row r="248" spans="1:12" x14ac:dyDescent="0.2">
      <c r="A248" s="57"/>
      <c r="B248" s="49"/>
      <c r="C248" s="64" t="s">
        <v>948</v>
      </c>
      <c r="D248" s="64"/>
      <c r="E248" s="64"/>
      <c r="F248" s="64"/>
      <c r="G248" s="64"/>
      <c r="H248" s="64"/>
      <c r="I248" s="64"/>
      <c r="J248" s="57"/>
      <c r="K248" s="58"/>
    </row>
    <row r="249" spans="1:12" x14ac:dyDescent="0.2">
      <c r="A249" s="57"/>
      <c r="B249" s="59"/>
      <c r="C249" s="58"/>
      <c r="D249" s="58"/>
      <c r="E249" s="58"/>
      <c r="F249" s="58"/>
      <c r="G249" s="58"/>
      <c r="H249" s="58"/>
      <c r="I249" s="58"/>
      <c r="J249" s="57"/>
      <c r="K249" s="58"/>
    </row>
    <row r="250" spans="1:12" x14ac:dyDescent="0.2">
      <c r="A250" s="57"/>
      <c r="B250" s="49" t="s">
        <v>949</v>
      </c>
      <c r="C250" s="50" t="str">
        <f>Source!AD12</f>
        <v/>
      </c>
      <c r="D250" s="51"/>
      <c r="E250" s="51"/>
      <c r="F250" s="51"/>
      <c r="G250" s="51"/>
      <c r="H250" s="51"/>
      <c r="I250" s="52" t="str">
        <f>Source!AE12</f>
        <v/>
      </c>
      <c r="J250" s="53"/>
      <c r="K250" s="53"/>
    </row>
    <row r="251" spans="1:12" x14ac:dyDescent="0.2">
      <c r="A251" s="57"/>
      <c r="B251" s="60"/>
      <c r="C251" s="64" t="s">
        <v>948</v>
      </c>
      <c r="D251" s="64"/>
      <c r="E251" s="64"/>
      <c r="F251" s="64"/>
      <c r="G251" s="64"/>
      <c r="H251" s="64"/>
      <c r="I251" s="64"/>
      <c r="J251" s="57"/>
      <c r="K251" s="57"/>
    </row>
    <row r="252" spans="1:12" x14ac:dyDescent="0.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</row>
  </sheetData>
  <mergeCells count="315">
    <mergeCell ref="L26:L28"/>
    <mergeCell ref="A7:K7"/>
    <mergeCell ref="A8:K8"/>
    <mergeCell ref="A10:B10"/>
    <mergeCell ref="C10:K10"/>
    <mergeCell ref="A12:H12"/>
    <mergeCell ref="I12:J12"/>
    <mergeCell ref="A1:K1"/>
    <mergeCell ref="A3:B3"/>
    <mergeCell ref="C3:K3"/>
    <mergeCell ref="A5:B5"/>
    <mergeCell ref="C5:K5"/>
    <mergeCell ref="A6:K6"/>
    <mergeCell ref="A17:H17"/>
    <mergeCell ref="I17:J17"/>
    <mergeCell ref="A18:H18"/>
    <mergeCell ref="I18:J18"/>
    <mergeCell ref="A19:H19"/>
    <mergeCell ref="I19:J19"/>
    <mergeCell ref="A13:H13"/>
    <mergeCell ref="A14:H14"/>
    <mergeCell ref="I14:J14"/>
    <mergeCell ref="A15:H15"/>
    <mergeCell ref="I15:J15"/>
    <mergeCell ref="A16:H16"/>
    <mergeCell ref="I16:J16"/>
    <mergeCell ref="G26:I26"/>
    <mergeCell ref="J26:K26"/>
    <mergeCell ref="G27:G28"/>
    <mergeCell ref="H27:H28"/>
    <mergeCell ref="J27:K27"/>
    <mergeCell ref="A30:K30"/>
    <mergeCell ref="A20:H20"/>
    <mergeCell ref="I20:J20"/>
    <mergeCell ref="A22:H22"/>
    <mergeCell ref="A23:H23"/>
    <mergeCell ref="A25:K25"/>
    <mergeCell ref="A26:A28"/>
    <mergeCell ref="B26:B28"/>
    <mergeCell ref="C26:C28"/>
    <mergeCell ref="D26:D28"/>
    <mergeCell ref="E26:F26"/>
    <mergeCell ref="A35:K35"/>
    <mergeCell ref="A36:A37"/>
    <mergeCell ref="D36:D37"/>
    <mergeCell ref="G36:G37"/>
    <mergeCell ref="H36:H37"/>
    <mergeCell ref="C38:K38"/>
    <mergeCell ref="A31:A32"/>
    <mergeCell ref="D31:D32"/>
    <mergeCell ref="G31:G32"/>
    <mergeCell ref="H31:H32"/>
    <mergeCell ref="C33:K33"/>
    <mergeCell ref="C34:K34"/>
    <mergeCell ref="A44:A45"/>
    <mergeCell ref="D44:D45"/>
    <mergeCell ref="H44:H45"/>
    <mergeCell ref="A46:K46"/>
    <mergeCell ref="A47:A48"/>
    <mergeCell ref="D47:D48"/>
    <mergeCell ref="G47:G48"/>
    <mergeCell ref="H47:H48"/>
    <mergeCell ref="C39:K39"/>
    <mergeCell ref="A40:K40"/>
    <mergeCell ref="A41:A42"/>
    <mergeCell ref="D41:D42"/>
    <mergeCell ref="H41:H42"/>
    <mergeCell ref="A43:K43"/>
    <mergeCell ref="A56:K56"/>
    <mergeCell ref="A57:A58"/>
    <mergeCell ref="D57:D58"/>
    <mergeCell ref="G57:G58"/>
    <mergeCell ref="H57:H58"/>
    <mergeCell ref="C59:K59"/>
    <mergeCell ref="C49:K49"/>
    <mergeCell ref="C50:K50"/>
    <mergeCell ref="C51:K51"/>
    <mergeCell ref="C52:K52"/>
    <mergeCell ref="A53:K53"/>
    <mergeCell ref="A54:A55"/>
    <mergeCell ref="D54:D55"/>
    <mergeCell ref="H54:H55"/>
    <mergeCell ref="C64:K64"/>
    <mergeCell ref="C65:K65"/>
    <mergeCell ref="C66:K66"/>
    <mergeCell ref="C67:K67"/>
    <mergeCell ref="A68:K68"/>
    <mergeCell ref="A69:A70"/>
    <mergeCell ref="D69:D70"/>
    <mergeCell ref="H69:H70"/>
    <mergeCell ref="C60:K60"/>
    <mergeCell ref="A61:K61"/>
    <mergeCell ref="A62:A63"/>
    <mergeCell ref="D62:D63"/>
    <mergeCell ref="G62:G63"/>
    <mergeCell ref="H62:H63"/>
    <mergeCell ref="C75:K75"/>
    <mergeCell ref="C76:K76"/>
    <mergeCell ref="C77:K77"/>
    <mergeCell ref="A78:K78"/>
    <mergeCell ref="A79:A80"/>
    <mergeCell ref="D79:D80"/>
    <mergeCell ref="G79:G80"/>
    <mergeCell ref="H79:H80"/>
    <mergeCell ref="A71:K71"/>
    <mergeCell ref="A72:A73"/>
    <mergeCell ref="D72:D73"/>
    <mergeCell ref="G72:G73"/>
    <mergeCell ref="H72:H73"/>
    <mergeCell ref="C74:K74"/>
    <mergeCell ref="C88:K88"/>
    <mergeCell ref="C89:K89"/>
    <mergeCell ref="A90:K90"/>
    <mergeCell ref="A91:A92"/>
    <mergeCell ref="D91:D92"/>
    <mergeCell ref="H91:H92"/>
    <mergeCell ref="C81:K81"/>
    <mergeCell ref="C82:K82"/>
    <mergeCell ref="C83:K83"/>
    <mergeCell ref="C84:K84"/>
    <mergeCell ref="A85:K85"/>
    <mergeCell ref="A86:A87"/>
    <mergeCell ref="D86:D87"/>
    <mergeCell ref="G86:G87"/>
    <mergeCell ref="H86:H87"/>
    <mergeCell ref="C99:K99"/>
    <mergeCell ref="C100:K100"/>
    <mergeCell ref="C101:K101"/>
    <mergeCell ref="C102:K102"/>
    <mergeCell ref="A103:K103"/>
    <mergeCell ref="A104:A105"/>
    <mergeCell ref="D104:D105"/>
    <mergeCell ref="H104:H105"/>
    <mergeCell ref="A93:K93"/>
    <mergeCell ref="A94:A95"/>
    <mergeCell ref="D94:D95"/>
    <mergeCell ref="H94:H95"/>
    <mergeCell ref="A96:K96"/>
    <mergeCell ref="A97:A98"/>
    <mergeCell ref="D97:D98"/>
    <mergeCell ref="G97:G98"/>
    <mergeCell ref="H97:H98"/>
    <mergeCell ref="C110:K110"/>
    <mergeCell ref="C111:K111"/>
    <mergeCell ref="C112:K112"/>
    <mergeCell ref="A113:K113"/>
    <mergeCell ref="A114:A115"/>
    <mergeCell ref="D114:D115"/>
    <mergeCell ref="G114:G115"/>
    <mergeCell ref="H114:H115"/>
    <mergeCell ref="A106:K106"/>
    <mergeCell ref="A107:A108"/>
    <mergeCell ref="D107:D108"/>
    <mergeCell ref="G107:G108"/>
    <mergeCell ref="H107:H108"/>
    <mergeCell ref="C109:K109"/>
    <mergeCell ref="A123:K123"/>
    <mergeCell ref="A124:K124"/>
    <mergeCell ref="A125:A126"/>
    <mergeCell ref="D125:D126"/>
    <mergeCell ref="G125:G126"/>
    <mergeCell ref="H125:H126"/>
    <mergeCell ref="C116:K116"/>
    <mergeCell ref="C117:K117"/>
    <mergeCell ref="C118:K118"/>
    <mergeCell ref="C119:K119"/>
    <mergeCell ref="A120:K120"/>
    <mergeCell ref="A121:A122"/>
    <mergeCell ref="D121:D122"/>
    <mergeCell ref="H121:H122"/>
    <mergeCell ref="A134:K134"/>
    <mergeCell ref="A135:A136"/>
    <mergeCell ref="D135:D136"/>
    <mergeCell ref="G135:G136"/>
    <mergeCell ref="H135:H136"/>
    <mergeCell ref="C137:K137"/>
    <mergeCell ref="C127:K127"/>
    <mergeCell ref="C128:K128"/>
    <mergeCell ref="C129:K129"/>
    <mergeCell ref="C130:K130"/>
    <mergeCell ref="A131:K131"/>
    <mergeCell ref="A132:A133"/>
    <mergeCell ref="D132:D133"/>
    <mergeCell ref="H132:H133"/>
    <mergeCell ref="A144:K144"/>
    <mergeCell ref="A145:A146"/>
    <mergeCell ref="D145:D146"/>
    <mergeCell ref="G145:G146"/>
    <mergeCell ref="H145:H146"/>
    <mergeCell ref="C147:K147"/>
    <mergeCell ref="C138:K138"/>
    <mergeCell ref="C139:K139"/>
    <mergeCell ref="C140:K140"/>
    <mergeCell ref="A141:K141"/>
    <mergeCell ref="A142:A143"/>
    <mergeCell ref="D142:D143"/>
    <mergeCell ref="H142:H143"/>
    <mergeCell ref="A154:K154"/>
    <mergeCell ref="A155:K155"/>
    <mergeCell ref="A156:A157"/>
    <mergeCell ref="D156:D157"/>
    <mergeCell ref="G156:G157"/>
    <mergeCell ref="H156:H157"/>
    <mergeCell ref="C148:K148"/>
    <mergeCell ref="C149:K149"/>
    <mergeCell ref="C150:K150"/>
    <mergeCell ref="A151:K151"/>
    <mergeCell ref="A152:A153"/>
    <mergeCell ref="D152:D153"/>
    <mergeCell ref="H152:H153"/>
    <mergeCell ref="C158:K158"/>
    <mergeCell ref="C159:K159"/>
    <mergeCell ref="C160:K160"/>
    <mergeCell ref="C161:K161"/>
    <mergeCell ref="A162:K162"/>
    <mergeCell ref="A163:A164"/>
    <mergeCell ref="D163:D164"/>
    <mergeCell ref="G163:G164"/>
    <mergeCell ref="H163:H164"/>
    <mergeCell ref="C172:K172"/>
    <mergeCell ref="C173:K173"/>
    <mergeCell ref="C174:K174"/>
    <mergeCell ref="C175:K175"/>
    <mergeCell ref="A176:K176"/>
    <mergeCell ref="A177:A178"/>
    <mergeCell ref="D177:D178"/>
    <mergeCell ref="H177:H178"/>
    <mergeCell ref="C165:K165"/>
    <mergeCell ref="C166:K166"/>
    <mergeCell ref="C167:K167"/>
    <mergeCell ref="C168:K168"/>
    <mergeCell ref="A169:K169"/>
    <mergeCell ref="A170:A171"/>
    <mergeCell ref="D170:D171"/>
    <mergeCell ref="G170:G171"/>
    <mergeCell ref="H170:H171"/>
    <mergeCell ref="C183:K183"/>
    <mergeCell ref="C184:K184"/>
    <mergeCell ref="C185:K185"/>
    <mergeCell ref="A186:K186"/>
    <mergeCell ref="A187:A188"/>
    <mergeCell ref="D187:D188"/>
    <mergeCell ref="H187:H188"/>
    <mergeCell ref="A179:K179"/>
    <mergeCell ref="A180:A181"/>
    <mergeCell ref="D180:D181"/>
    <mergeCell ref="G180:G181"/>
    <mergeCell ref="H180:H181"/>
    <mergeCell ref="C182:K182"/>
    <mergeCell ref="C193:K193"/>
    <mergeCell ref="C194:K194"/>
    <mergeCell ref="A195:K195"/>
    <mergeCell ref="A196:A197"/>
    <mergeCell ref="D196:D197"/>
    <mergeCell ref="H196:H197"/>
    <mergeCell ref="A189:K189"/>
    <mergeCell ref="A190:K190"/>
    <mergeCell ref="A191:A192"/>
    <mergeCell ref="D191:D192"/>
    <mergeCell ref="G191:G192"/>
    <mergeCell ref="H191:H192"/>
    <mergeCell ref="A198:K198"/>
    <mergeCell ref="A199:A200"/>
    <mergeCell ref="D199:D200"/>
    <mergeCell ref="H199:H200"/>
    <mergeCell ref="A201:K201"/>
    <mergeCell ref="A202:A203"/>
    <mergeCell ref="D202:D203"/>
    <mergeCell ref="G202:G203"/>
    <mergeCell ref="H202:H203"/>
    <mergeCell ref="A211:K211"/>
    <mergeCell ref="A212:F213"/>
    <mergeCell ref="G212:G213"/>
    <mergeCell ref="H212:H213"/>
    <mergeCell ref="A214:F215"/>
    <mergeCell ref="G214:G215"/>
    <mergeCell ref="C204:K204"/>
    <mergeCell ref="C205:K205"/>
    <mergeCell ref="C206:K206"/>
    <mergeCell ref="C207:K207"/>
    <mergeCell ref="A208:K208"/>
    <mergeCell ref="A209:A210"/>
    <mergeCell ref="D209:D210"/>
    <mergeCell ref="H209:H210"/>
    <mergeCell ref="G220:G221"/>
    <mergeCell ref="A222:F222"/>
    <mergeCell ref="A223:F223"/>
    <mergeCell ref="A224:F224"/>
    <mergeCell ref="A225:F225"/>
    <mergeCell ref="A216:F216"/>
    <mergeCell ref="A217:F217"/>
    <mergeCell ref="A218:F218"/>
    <mergeCell ref="A219:F219"/>
    <mergeCell ref="A220:F221"/>
    <mergeCell ref="A231:F232"/>
    <mergeCell ref="G231:G232"/>
    <mergeCell ref="A233:F233"/>
    <mergeCell ref="A234:F234"/>
    <mergeCell ref="A226:F227"/>
    <mergeCell ref="G226:G227"/>
    <mergeCell ref="A228:F228"/>
    <mergeCell ref="A229:F229"/>
    <mergeCell ref="A230:F230"/>
    <mergeCell ref="A241:F241"/>
    <mergeCell ref="A242:F242"/>
    <mergeCell ref="A243:F243"/>
    <mergeCell ref="A244:F244"/>
    <mergeCell ref="C248:I248"/>
    <mergeCell ref="C251:I251"/>
    <mergeCell ref="A235:F235"/>
    <mergeCell ref="A236:F236"/>
    <mergeCell ref="A237:F237"/>
    <mergeCell ref="A238:F238"/>
    <mergeCell ref="A239:F239"/>
    <mergeCell ref="A240:F240"/>
  </mergeCells>
  <pageMargins left="0.60055118110236205" right="0.45055118110236198" top="1.00370078740158" bottom="0.35370078740157501" header="0.61001181102362001" footer="0.11811023622047198"/>
  <pageSetup paperSize="9" scale="75" fitToHeight="0" orientation="landscape" horizontalDpi="200" verticalDpi="200" r:id="rId1"/>
  <headerFooter>
    <oddHeader>&amp;L&lt;С2&gt;&amp;RПК АтомСмета вер. 8.0 от 25.11.2013 тел.(495) 974-15-89       Форма 4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483"/>
  <sheetViews>
    <sheetView topLeftCell="B1" workbookViewId="0">
      <selection activeCell="F12" sqref="F12"/>
    </sheetView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1</v>
      </c>
      <c r="F1">
        <v>0</v>
      </c>
      <c r="G1">
        <v>3</v>
      </c>
      <c r="H1">
        <v>0</v>
      </c>
      <c r="I1" t="s">
        <v>0</v>
      </c>
      <c r="J1" t="s">
        <v>2</v>
      </c>
      <c r="K1">
        <v>0</v>
      </c>
      <c r="L1">
        <v>34575</v>
      </c>
      <c r="M1">
        <v>39449400</v>
      </c>
      <c r="N1">
        <v>11</v>
      </c>
      <c r="O1">
        <v>1</v>
      </c>
      <c r="P1">
        <v>0</v>
      </c>
      <c r="Q1">
        <v>7</v>
      </c>
    </row>
    <row r="12" spans="1:133" x14ac:dyDescent="0.2">
      <c r="A12" s="1">
        <v>1</v>
      </c>
      <c r="B12" s="1">
        <v>479</v>
      </c>
      <c r="C12" s="1">
        <v>0</v>
      </c>
      <c r="D12" s="1">
        <f>ROW(A380)</f>
        <v>380</v>
      </c>
      <c r="E12" s="1">
        <v>0</v>
      </c>
      <c r="F12" s="1" t="s">
        <v>3</v>
      </c>
      <c r="G12" s="1" t="s">
        <v>952</v>
      </c>
      <c r="H12" s="1" t="s">
        <v>2</v>
      </c>
      <c r="I12" s="1">
        <v>0</v>
      </c>
      <c r="J12" s="1" t="s">
        <v>2</v>
      </c>
      <c r="K12" s="1">
        <v>1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950</v>
      </c>
      <c r="V12" s="1">
        <v>0</v>
      </c>
      <c r="W12" s="1" t="s">
        <v>2</v>
      </c>
      <c r="X12" s="1" t="s">
        <v>2</v>
      </c>
      <c r="Y12" s="1" t="s">
        <v>2</v>
      </c>
      <c r="Z12" s="1" t="s">
        <v>2</v>
      </c>
      <c r="AA12" s="1" t="s">
        <v>2</v>
      </c>
      <c r="AB12" s="1" t="s">
        <v>2</v>
      </c>
      <c r="AC12" s="1" t="s">
        <v>2</v>
      </c>
      <c r="AD12" s="1" t="s">
        <v>2</v>
      </c>
      <c r="AE12" s="1" t="s">
        <v>2</v>
      </c>
      <c r="AF12" s="1" t="s">
        <v>2</v>
      </c>
      <c r="AG12" s="1" t="s">
        <v>2</v>
      </c>
      <c r="AH12" s="1" t="s">
        <v>2</v>
      </c>
      <c r="AI12" s="1" t="s">
        <v>2</v>
      </c>
      <c r="AJ12" s="1" t="s">
        <v>2</v>
      </c>
      <c r="AK12" s="1"/>
      <c r="AL12" s="1" t="s">
        <v>2</v>
      </c>
      <c r="AM12" s="1" t="s">
        <v>2</v>
      </c>
      <c r="AN12" s="1" t="s">
        <v>2</v>
      </c>
      <c r="AO12" s="1"/>
      <c r="AP12" s="1" t="s">
        <v>2</v>
      </c>
      <c r="AQ12" s="1" t="s">
        <v>2</v>
      </c>
      <c r="AR12" s="1" t="s">
        <v>2</v>
      </c>
      <c r="AS12" s="1"/>
      <c r="AT12" s="1"/>
      <c r="AU12" s="1"/>
      <c r="AV12" s="1"/>
      <c r="AW12" s="1"/>
      <c r="AX12" s="1" t="s">
        <v>2</v>
      </c>
      <c r="AY12" s="1" t="s">
        <v>2</v>
      </c>
      <c r="AZ12" s="1" t="s">
        <v>2</v>
      </c>
      <c r="BA12" s="1"/>
      <c r="BB12" s="1"/>
      <c r="BC12" s="1"/>
      <c r="BD12" s="1"/>
      <c r="BE12" s="1"/>
      <c r="BF12" s="1"/>
      <c r="BG12" s="1"/>
      <c r="BH12" s="1" t="s">
        <v>5</v>
      </c>
      <c r="BI12" s="1" t="s">
        <v>6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2</v>
      </c>
      <c r="BQ12" s="1">
        <v>0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7</v>
      </c>
      <c r="BZ12" s="1" t="s">
        <v>8</v>
      </c>
      <c r="CA12" s="1" t="s">
        <v>9</v>
      </c>
      <c r="CB12" s="1" t="s">
        <v>9</v>
      </c>
      <c r="CC12" s="1" t="s">
        <v>9</v>
      </c>
      <c r="CD12" s="1" t="s">
        <v>9</v>
      </c>
      <c r="CE12" s="1" t="s">
        <v>10</v>
      </c>
      <c r="CF12" s="1">
        <v>0</v>
      </c>
      <c r="CG12" s="1">
        <v>0</v>
      </c>
      <c r="CH12" s="1">
        <v>524296</v>
      </c>
      <c r="CI12" s="1" t="s">
        <v>2</v>
      </c>
      <c r="CJ12" s="1" t="s">
        <v>2</v>
      </c>
      <c r="CK12" s="1">
        <v>9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 x14ac:dyDescent="0.2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45" x14ac:dyDescent="0.2">
      <c r="A18" s="2">
        <v>52</v>
      </c>
      <c r="B18" s="2">
        <f t="shared" ref="B18:G18" si="0">B380</f>
        <v>479</v>
      </c>
      <c r="C18" s="2">
        <f t="shared" si="0"/>
        <v>1</v>
      </c>
      <c r="D18" s="2">
        <f t="shared" si="0"/>
        <v>12</v>
      </c>
      <c r="E18" s="2">
        <f t="shared" si="0"/>
        <v>0</v>
      </c>
      <c r="F18" s="2" t="str">
        <f t="shared" si="0"/>
        <v>С2</v>
      </c>
      <c r="G18" s="2" t="str">
        <f t="shared" si="0"/>
        <v>Капитальный ремонт помещений здания управления</v>
      </c>
      <c r="H18" s="2"/>
      <c r="I18" s="2"/>
      <c r="J18" s="2"/>
      <c r="K18" s="2"/>
      <c r="L18" s="2"/>
      <c r="M18" s="2"/>
      <c r="N18" s="2"/>
      <c r="O18" s="2">
        <f t="shared" ref="O18:AT18" si="1">O380</f>
        <v>16325</v>
      </c>
      <c r="P18" s="2">
        <f t="shared" si="1"/>
        <v>14104</v>
      </c>
      <c r="Q18" s="2">
        <f t="shared" si="1"/>
        <v>375</v>
      </c>
      <c r="R18" s="2">
        <f t="shared" si="1"/>
        <v>35</v>
      </c>
      <c r="S18" s="2">
        <f t="shared" si="1"/>
        <v>1846</v>
      </c>
      <c r="T18" s="2">
        <f t="shared" si="1"/>
        <v>0</v>
      </c>
      <c r="U18" s="2">
        <f t="shared" si="1"/>
        <v>212.77353589999996</v>
      </c>
      <c r="V18" s="2">
        <f t="shared" si="1"/>
        <v>3.0041785999999999</v>
      </c>
      <c r="W18" s="2">
        <f t="shared" si="1"/>
        <v>0</v>
      </c>
      <c r="X18" s="2">
        <f t="shared" si="1"/>
        <v>1904</v>
      </c>
      <c r="Y18" s="2">
        <f t="shared" si="1"/>
        <v>945</v>
      </c>
      <c r="Z18" s="2">
        <f t="shared" si="1"/>
        <v>0</v>
      </c>
      <c r="AA18" s="2">
        <f t="shared" si="1"/>
        <v>0</v>
      </c>
      <c r="AB18" s="2">
        <f t="shared" si="1"/>
        <v>0</v>
      </c>
      <c r="AC18" s="2">
        <f t="shared" si="1"/>
        <v>0</v>
      </c>
      <c r="AD18" s="2">
        <f t="shared" si="1"/>
        <v>0</v>
      </c>
      <c r="AE18" s="2">
        <f t="shared" si="1"/>
        <v>0</v>
      </c>
      <c r="AF18" s="2">
        <f t="shared" si="1"/>
        <v>0</v>
      </c>
      <c r="AG18" s="2">
        <f t="shared" si="1"/>
        <v>0</v>
      </c>
      <c r="AH18" s="2">
        <f t="shared" si="1"/>
        <v>0</v>
      </c>
      <c r="AI18" s="2">
        <f t="shared" si="1"/>
        <v>0</v>
      </c>
      <c r="AJ18" s="2">
        <f t="shared" si="1"/>
        <v>0</v>
      </c>
      <c r="AK18" s="2">
        <f t="shared" si="1"/>
        <v>0</v>
      </c>
      <c r="AL18" s="2">
        <f t="shared" si="1"/>
        <v>0</v>
      </c>
      <c r="AM18" s="2">
        <f t="shared" si="1"/>
        <v>0</v>
      </c>
      <c r="AN18" s="2">
        <f t="shared" si="1"/>
        <v>0</v>
      </c>
      <c r="AO18" s="2">
        <f t="shared" si="1"/>
        <v>0</v>
      </c>
      <c r="AP18" s="2">
        <f t="shared" si="1"/>
        <v>0</v>
      </c>
      <c r="AQ18" s="2">
        <f t="shared" si="1"/>
        <v>0</v>
      </c>
      <c r="AR18" s="2">
        <f t="shared" si="1"/>
        <v>19174</v>
      </c>
      <c r="AS18" s="2">
        <f t="shared" si="1"/>
        <v>18958</v>
      </c>
      <c r="AT18" s="2">
        <f t="shared" si="1"/>
        <v>216</v>
      </c>
      <c r="AU18" s="2">
        <f t="shared" ref="AU18:BZ18" si="2">AU380</f>
        <v>0</v>
      </c>
      <c r="AV18" s="2">
        <f t="shared" si="2"/>
        <v>14104</v>
      </c>
      <c r="AW18" s="2">
        <f t="shared" si="2"/>
        <v>14104</v>
      </c>
      <c r="AX18" s="2">
        <f t="shared" si="2"/>
        <v>0</v>
      </c>
      <c r="AY18" s="2">
        <f t="shared" si="2"/>
        <v>14104</v>
      </c>
      <c r="AZ18" s="2">
        <f t="shared" si="2"/>
        <v>0</v>
      </c>
      <c r="BA18" s="2">
        <f t="shared" si="2"/>
        <v>0</v>
      </c>
      <c r="BB18" s="2">
        <f t="shared" si="2"/>
        <v>0</v>
      </c>
      <c r="BC18" s="2">
        <f t="shared" si="2"/>
        <v>0</v>
      </c>
      <c r="BD18" s="2">
        <f t="shared" si="2"/>
        <v>0</v>
      </c>
      <c r="BE18" s="2">
        <f t="shared" si="2"/>
        <v>0</v>
      </c>
      <c r="BF18" s="2">
        <f t="shared" si="2"/>
        <v>0</v>
      </c>
      <c r="BG18" s="2">
        <f t="shared" si="2"/>
        <v>0</v>
      </c>
      <c r="BH18" s="2">
        <f t="shared" si="2"/>
        <v>0</v>
      </c>
      <c r="BI18" s="2">
        <f t="shared" si="2"/>
        <v>0</v>
      </c>
      <c r="BJ18" s="2">
        <f t="shared" si="2"/>
        <v>0</v>
      </c>
      <c r="BK18" s="2">
        <f t="shared" si="2"/>
        <v>0</v>
      </c>
      <c r="BL18" s="2">
        <f t="shared" si="2"/>
        <v>0</v>
      </c>
      <c r="BM18" s="2">
        <f t="shared" si="2"/>
        <v>0</v>
      </c>
      <c r="BN18" s="2">
        <f t="shared" si="2"/>
        <v>0</v>
      </c>
      <c r="BO18" s="2">
        <f t="shared" si="2"/>
        <v>0</v>
      </c>
      <c r="BP18" s="2">
        <f t="shared" si="2"/>
        <v>0</v>
      </c>
      <c r="BQ18" s="2">
        <f t="shared" si="2"/>
        <v>0</v>
      </c>
      <c r="BR18" s="2">
        <f t="shared" si="2"/>
        <v>0</v>
      </c>
      <c r="BS18" s="2">
        <f t="shared" si="2"/>
        <v>0</v>
      </c>
      <c r="BT18" s="2">
        <f t="shared" si="2"/>
        <v>0</v>
      </c>
      <c r="BU18" s="2">
        <f t="shared" si="2"/>
        <v>0</v>
      </c>
      <c r="BV18" s="2">
        <f t="shared" si="2"/>
        <v>0</v>
      </c>
      <c r="BW18" s="2">
        <f t="shared" si="2"/>
        <v>0</v>
      </c>
      <c r="BX18" s="2">
        <f t="shared" si="2"/>
        <v>0</v>
      </c>
      <c r="BY18" s="2">
        <f t="shared" si="2"/>
        <v>0</v>
      </c>
      <c r="BZ18" s="2">
        <f t="shared" si="2"/>
        <v>0</v>
      </c>
      <c r="CA18" s="2">
        <f t="shared" ref="CA18:DF18" si="3">CA380</f>
        <v>0</v>
      </c>
      <c r="CB18" s="2">
        <f t="shared" si="3"/>
        <v>0</v>
      </c>
      <c r="CC18" s="2">
        <f t="shared" si="3"/>
        <v>0</v>
      </c>
      <c r="CD18" s="2">
        <f t="shared" si="3"/>
        <v>0</v>
      </c>
      <c r="CE18" s="2">
        <f t="shared" si="3"/>
        <v>0</v>
      </c>
      <c r="CF18" s="2">
        <f t="shared" si="3"/>
        <v>0</v>
      </c>
      <c r="CG18" s="2">
        <f t="shared" si="3"/>
        <v>0</v>
      </c>
      <c r="CH18" s="2">
        <f t="shared" si="3"/>
        <v>0</v>
      </c>
      <c r="CI18" s="2">
        <f t="shared" si="3"/>
        <v>0</v>
      </c>
      <c r="CJ18" s="2">
        <f t="shared" si="3"/>
        <v>0</v>
      </c>
      <c r="CK18" s="2">
        <f t="shared" si="3"/>
        <v>0</v>
      </c>
      <c r="CL18" s="2">
        <f t="shared" si="3"/>
        <v>0</v>
      </c>
      <c r="CM18" s="2">
        <f t="shared" si="3"/>
        <v>0</v>
      </c>
      <c r="CN18" s="2">
        <f t="shared" si="3"/>
        <v>0</v>
      </c>
      <c r="CO18" s="2">
        <f t="shared" si="3"/>
        <v>0</v>
      </c>
      <c r="CP18" s="2">
        <f t="shared" si="3"/>
        <v>0</v>
      </c>
      <c r="CQ18" s="2">
        <f t="shared" si="3"/>
        <v>0</v>
      </c>
      <c r="CR18" s="2">
        <f t="shared" si="3"/>
        <v>0</v>
      </c>
      <c r="CS18" s="2">
        <f t="shared" si="3"/>
        <v>0</v>
      </c>
      <c r="CT18" s="2">
        <f t="shared" si="3"/>
        <v>0</v>
      </c>
      <c r="CU18" s="2">
        <f t="shared" si="3"/>
        <v>0</v>
      </c>
      <c r="CV18" s="2">
        <f t="shared" si="3"/>
        <v>0</v>
      </c>
      <c r="CW18" s="2">
        <f t="shared" si="3"/>
        <v>0</v>
      </c>
      <c r="CX18" s="2">
        <f t="shared" si="3"/>
        <v>0</v>
      </c>
      <c r="CY18" s="2">
        <f t="shared" si="3"/>
        <v>0</v>
      </c>
      <c r="CZ18" s="2">
        <f t="shared" si="3"/>
        <v>0</v>
      </c>
      <c r="DA18" s="2">
        <f t="shared" si="3"/>
        <v>0</v>
      </c>
      <c r="DB18" s="2">
        <f t="shared" si="3"/>
        <v>0</v>
      </c>
      <c r="DC18" s="2">
        <f t="shared" si="3"/>
        <v>0</v>
      </c>
      <c r="DD18" s="2">
        <f t="shared" si="3"/>
        <v>0</v>
      </c>
      <c r="DE18" s="2">
        <f t="shared" si="3"/>
        <v>0</v>
      </c>
      <c r="DF18" s="2">
        <f t="shared" si="3"/>
        <v>0</v>
      </c>
      <c r="DG18" s="3">
        <f t="shared" ref="DG18:EL18" si="4">DG380</f>
        <v>0</v>
      </c>
      <c r="DH18" s="3">
        <f t="shared" si="4"/>
        <v>0</v>
      </c>
      <c r="DI18" s="3">
        <f t="shared" si="4"/>
        <v>0</v>
      </c>
      <c r="DJ18" s="3">
        <f t="shared" si="4"/>
        <v>0</v>
      </c>
      <c r="DK18" s="3">
        <f t="shared" si="4"/>
        <v>0</v>
      </c>
      <c r="DL18" s="3">
        <f t="shared" si="4"/>
        <v>0</v>
      </c>
      <c r="DM18" s="3">
        <f t="shared" si="4"/>
        <v>0</v>
      </c>
      <c r="DN18" s="3">
        <f t="shared" si="4"/>
        <v>0</v>
      </c>
      <c r="DO18" s="3">
        <f t="shared" si="4"/>
        <v>0</v>
      </c>
      <c r="DP18" s="3">
        <f t="shared" si="4"/>
        <v>0</v>
      </c>
      <c r="DQ18" s="3">
        <f t="shared" si="4"/>
        <v>0</v>
      </c>
      <c r="DR18" s="3">
        <f t="shared" si="4"/>
        <v>0</v>
      </c>
      <c r="DS18" s="3">
        <f t="shared" si="4"/>
        <v>0</v>
      </c>
      <c r="DT18" s="3">
        <f t="shared" si="4"/>
        <v>0</v>
      </c>
      <c r="DU18" s="3">
        <f t="shared" si="4"/>
        <v>0</v>
      </c>
      <c r="DV18" s="3">
        <f t="shared" si="4"/>
        <v>0</v>
      </c>
      <c r="DW18" s="3">
        <f t="shared" si="4"/>
        <v>0</v>
      </c>
      <c r="DX18" s="3">
        <f t="shared" si="4"/>
        <v>0</v>
      </c>
      <c r="DY18" s="3">
        <f t="shared" si="4"/>
        <v>0</v>
      </c>
      <c r="DZ18" s="3">
        <f t="shared" si="4"/>
        <v>0</v>
      </c>
      <c r="EA18" s="3">
        <f t="shared" si="4"/>
        <v>0</v>
      </c>
      <c r="EB18" s="3">
        <f t="shared" si="4"/>
        <v>0</v>
      </c>
      <c r="EC18" s="3">
        <f t="shared" si="4"/>
        <v>0</v>
      </c>
      <c r="ED18" s="3">
        <f t="shared" si="4"/>
        <v>0</v>
      </c>
      <c r="EE18" s="3">
        <f t="shared" si="4"/>
        <v>0</v>
      </c>
      <c r="EF18" s="3">
        <f t="shared" si="4"/>
        <v>0</v>
      </c>
      <c r="EG18" s="3">
        <f t="shared" si="4"/>
        <v>0</v>
      </c>
      <c r="EH18" s="3">
        <f t="shared" si="4"/>
        <v>0</v>
      </c>
      <c r="EI18" s="3">
        <f t="shared" si="4"/>
        <v>0</v>
      </c>
      <c r="EJ18" s="3">
        <f t="shared" si="4"/>
        <v>0</v>
      </c>
      <c r="EK18" s="3">
        <f t="shared" si="4"/>
        <v>0</v>
      </c>
      <c r="EL18" s="3">
        <f t="shared" si="4"/>
        <v>0</v>
      </c>
      <c r="EM18" s="3">
        <f t="shared" ref="EM18:FR18" si="5">EM380</f>
        <v>0</v>
      </c>
      <c r="EN18" s="3">
        <f t="shared" si="5"/>
        <v>0</v>
      </c>
      <c r="EO18" s="3">
        <f t="shared" si="5"/>
        <v>0</v>
      </c>
      <c r="EP18" s="3">
        <f t="shared" si="5"/>
        <v>0</v>
      </c>
      <c r="EQ18" s="3">
        <f t="shared" si="5"/>
        <v>0</v>
      </c>
      <c r="ER18" s="3">
        <f t="shared" si="5"/>
        <v>0</v>
      </c>
      <c r="ES18" s="3">
        <f t="shared" si="5"/>
        <v>0</v>
      </c>
      <c r="ET18" s="3">
        <f t="shared" si="5"/>
        <v>0</v>
      </c>
      <c r="EU18" s="3">
        <f t="shared" si="5"/>
        <v>0</v>
      </c>
      <c r="EV18" s="3">
        <f t="shared" si="5"/>
        <v>0</v>
      </c>
      <c r="EW18" s="3">
        <f t="shared" si="5"/>
        <v>0</v>
      </c>
      <c r="EX18" s="3">
        <f t="shared" si="5"/>
        <v>0</v>
      </c>
      <c r="EY18" s="3">
        <f t="shared" si="5"/>
        <v>0</v>
      </c>
      <c r="EZ18" s="3">
        <f t="shared" si="5"/>
        <v>0</v>
      </c>
      <c r="FA18" s="3">
        <f t="shared" si="5"/>
        <v>0</v>
      </c>
      <c r="FB18" s="3">
        <f t="shared" si="5"/>
        <v>0</v>
      </c>
      <c r="FC18" s="3">
        <f t="shared" si="5"/>
        <v>0</v>
      </c>
      <c r="FD18" s="3">
        <f t="shared" si="5"/>
        <v>0</v>
      </c>
      <c r="FE18" s="3">
        <f t="shared" si="5"/>
        <v>0</v>
      </c>
      <c r="FF18" s="3">
        <f t="shared" si="5"/>
        <v>0</v>
      </c>
      <c r="FG18" s="3">
        <f t="shared" si="5"/>
        <v>0</v>
      </c>
      <c r="FH18" s="3">
        <f t="shared" si="5"/>
        <v>0</v>
      </c>
      <c r="FI18" s="3">
        <f t="shared" si="5"/>
        <v>0</v>
      </c>
      <c r="FJ18" s="3">
        <f t="shared" si="5"/>
        <v>0</v>
      </c>
      <c r="FK18" s="3">
        <f t="shared" si="5"/>
        <v>0</v>
      </c>
      <c r="FL18" s="3">
        <f t="shared" si="5"/>
        <v>0</v>
      </c>
      <c r="FM18" s="3">
        <f t="shared" si="5"/>
        <v>0</v>
      </c>
      <c r="FN18" s="3">
        <f t="shared" si="5"/>
        <v>0</v>
      </c>
      <c r="FO18" s="3">
        <f t="shared" si="5"/>
        <v>0</v>
      </c>
      <c r="FP18" s="3">
        <f t="shared" si="5"/>
        <v>0</v>
      </c>
      <c r="FQ18" s="3">
        <f t="shared" si="5"/>
        <v>0</v>
      </c>
      <c r="FR18" s="3">
        <f t="shared" si="5"/>
        <v>0</v>
      </c>
      <c r="FS18" s="3">
        <f t="shared" ref="FS18:GX18" si="6">FS380</f>
        <v>0</v>
      </c>
      <c r="FT18" s="3">
        <f t="shared" si="6"/>
        <v>0</v>
      </c>
      <c r="FU18" s="3">
        <f t="shared" si="6"/>
        <v>0</v>
      </c>
      <c r="FV18" s="3">
        <f t="shared" si="6"/>
        <v>0</v>
      </c>
      <c r="FW18" s="3">
        <f t="shared" si="6"/>
        <v>0</v>
      </c>
      <c r="FX18" s="3">
        <f t="shared" si="6"/>
        <v>0</v>
      </c>
      <c r="FY18" s="3">
        <f t="shared" si="6"/>
        <v>0</v>
      </c>
      <c r="FZ18" s="3">
        <f t="shared" si="6"/>
        <v>0</v>
      </c>
      <c r="GA18" s="3">
        <f t="shared" si="6"/>
        <v>0</v>
      </c>
      <c r="GB18" s="3">
        <f t="shared" si="6"/>
        <v>0</v>
      </c>
      <c r="GC18" s="3">
        <f t="shared" si="6"/>
        <v>0</v>
      </c>
      <c r="GD18" s="3">
        <f t="shared" si="6"/>
        <v>0</v>
      </c>
      <c r="GE18" s="3">
        <f t="shared" si="6"/>
        <v>0</v>
      </c>
      <c r="GF18" s="3">
        <f t="shared" si="6"/>
        <v>0</v>
      </c>
      <c r="GG18" s="3">
        <f t="shared" si="6"/>
        <v>0</v>
      </c>
      <c r="GH18" s="3">
        <f t="shared" si="6"/>
        <v>0</v>
      </c>
      <c r="GI18" s="3">
        <f t="shared" si="6"/>
        <v>0</v>
      </c>
      <c r="GJ18" s="3">
        <f t="shared" si="6"/>
        <v>0</v>
      </c>
      <c r="GK18" s="3">
        <f t="shared" si="6"/>
        <v>0</v>
      </c>
      <c r="GL18" s="3">
        <f t="shared" si="6"/>
        <v>0</v>
      </c>
      <c r="GM18" s="3">
        <f t="shared" si="6"/>
        <v>0</v>
      </c>
      <c r="GN18" s="3">
        <f t="shared" si="6"/>
        <v>0</v>
      </c>
      <c r="GO18" s="3">
        <f t="shared" si="6"/>
        <v>0</v>
      </c>
      <c r="GP18" s="3">
        <f t="shared" si="6"/>
        <v>0</v>
      </c>
      <c r="GQ18" s="3">
        <f t="shared" si="6"/>
        <v>0</v>
      </c>
      <c r="GR18" s="3">
        <f t="shared" si="6"/>
        <v>0</v>
      </c>
      <c r="GS18" s="3">
        <f t="shared" si="6"/>
        <v>0</v>
      </c>
      <c r="GT18" s="3">
        <f t="shared" si="6"/>
        <v>0</v>
      </c>
      <c r="GU18" s="3">
        <f t="shared" si="6"/>
        <v>0</v>
      </c>
      <c r="GV18" s="3">
        <f t="shared" si="6"/>
        <v>0</v>
      </c>
      <c r="GW18" s="3">
        <f t="shared" si="6"/>
        <v>0</v>
      </c>
      <c r="GX18" s="3">
        <f t="shared" si="6"/>
        <v>0</v>
      </c>
    </row>
    <row r="20" spans="1:245" x14ac:dyDescent="0.2">
      <c r="A20" s="1">
        <v>3</v>
      </c>
      <c r="B20" s="1">
        <v>1</v>
      </c>
      <c r="C20" s="1"/>
      <c r="D20" s="1">
        <f>ROW(A200)</f>
        <v>200</v>
      </c>
      <c r="E20" s="1"/>
      <c r="F20" s="1" t="s">
        <v>2</v>
      </c>
      <c r="G20" s="1" t="s">
        <v>11</v>
      </c>
      <c r="H20" s="1" t="s">
        <v>2</v>
      </c>
      <c r="I20" s="1">
        <v>0</v>
      </c>
      <c r="J20" s="1" t="s">
        <v>12</v>
      </c>
      <c r="K20" s="1">
        <v>0</v>
      </c>
      <c r="L20" s="1" t="s">
        <v>11</v>
      </c>
      <c r="M20" s="1" t="s">
        <v>2</v>
      </c>
      <c r="N20" s="1"/>
      <c r="O20" s="1"/>
      <c r="P20" s="1"/>
      <c r="Q20" s="1"/>
      <c r="R20" s="1"/>
      <c r="S20" s="1">
        <v>0</v>
      </c>
      <c r="T20" s="1"/>
      <c r="U20" s="1" t="s">
        <v>2</v>
      </c>
      <c r="V20" s="1">
        <v>0</v>
      </c>
      <c r="W20" s="1"/>
      <c r="X20" s="1"/>
      <c r="Y20" s="1"/>
      <c r="Z20" s="1"/>
      <c r="AA20" s="1"/>
      <c r="AB20" s="1" t="s">
        <v>2</v>
      </c>
      <c r="AC20" s="1" t="s">
        <v>2</v>
      </c>
      <c r="AD20" s="1" t="s">
        <v>2</v>
      </c>
      <c r="AE20" s="1" t="s">
        <v>2</v>
      </c>
      <c r="AF20" s="1" t="s">
        <v>2</v>
      </c>
      <c r="AG20" s="1" t="s">
        <v>2</v>
      </c>
      <c r="AH20" s="1"/>
      <c r="AI20" s="1"/>
      <c r="AJ20" s="1"/>
      <c r="AK20" s="1"/>
      <c r="AL20" s="1"/>
      <c r="AM20" s="1"/>
      <c r="AN20" s="1"/>
      <c r="AO20" s="1"/>
      <c r="AP20" s="1" t="s">
        <v>2</v>
      </c>
      <c r="AQ20" s="1" t="s">
        <v>2</v>
      </c>
      <c r="AR20" s="1" t="s">
        <v>2</v>
      </c>
      <c r="AS20" s="1"/>
      <c r="AT20" s="1"/>
      <c r="AU20" s="1"/>
      <c r="AV20" s="1"/>
      <c r="AW20" s="1"/>
      <c r="AX20" s="1"/>
      <c r="AY20" s="1"/>
      <c r="AZ20" s="1" t="s">
        <v>2</v>
      </c>
      <c r="BA20" s="1"/>
      <c r="BB20" s="1" t="s">
        <v>2</v>
      </c>
      <c r="BC20" s="1" t="s">
        <v>2</v>
      </c>
      <c r="BD20" s="1" t="s">
        <v>2</v>
      </c>
      <c r="BE20" s="1" t="s">
        <v>2</v>
      </c>
      <c r="BF20" s="1" t="s">
        <v>2</v>
      </c>
      <c r="BG20" s="1" t="s">
        <v>2</v>
      </c>
      <c r="BH20" s="1" t="s">
        <v>2</v>
      </c>
      <c r="BI20" s="1" t="s">
        <v>2</v>
      </c>
      <c r="BJ20" s="1" t="s">
        <v>2</v>
      </c>
      <c r="BK20" s="1" t="s">
        <v>2</v>
      </c>
      <c r="BL20" s="1" t="s">
        <v>2</v>
      </c>
      <c r="BM20" s="1" t="s">
        <v>2</v>
      </c>
      <c r="BN20" s="1" t="s">
        <v>2</v>
      </c>
      <c r="BO20" s="1" t="s">
        <v>2</v>
      </c>
      <c r="BP20" s="1" t="s">
        <v>2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2</v>
      </c>
      <c r="CJ20" s="1" t="s">
        <v>2</v>
      </c>
      <c r="CK20" t="s">
        <v>2</v>
      </c>
      <c r="CL20" t="s">
        <v>2</v>
      </c>
      <c r="CM20" t="s">
        <v>2</v>
      </c>
      <c r="CN20" t="s">
        <v>2</v>
      </c>
      <c r="CO20" t="s">
        <v>2</v>
      </c>
      <c r="CP20" t="s">
        <v>2</v>
      </c>
      <c r="CQ20" t="s">
        <v>2</v>
      </c>
    </row>
    <row r="22" spans="1:245" x14ac:dyDescent="0.2">
      <c r="A22" s="2">
        <v>52</v>
      </c>
      <c r="B22" s="2">
        <f t="shared" ref="B22:G22" si="7">B200</f>
        <v>1</v>
      </c>
      <c r="C22" s="2">
        <f t="shared" si="7"/>
        <v>3</v>
      </c>
      <c r="D22" s="2">
        <f t="shared" si="7"/>
        <v>20</v>
      </c>
      <c r="E22" s="2">
        <f t="shared" si="7"/>
        <v>0</v>
      </c>
      <c r="F22" s="2" t="str">
        <f t="shared" si="7"/>
        <v/>
      </c>
      <c r="G22" s="2" t="str">
        <f t="shared" si="7"/>
        <v>Новая локальная смета</v>
      </c>
      <c r="H22" s="2"/>
      <c r="I22" s="2"/>
      <c r="J22" s="2"/>
      <c r="K22" s="2"/>
      <c r="L22" s="2"/>
      <c r="M22" s="2"/>
      <c r="N22" s="2"/>
      <c r="O22" s="2">
        <f t="shared" ref="O22:AT22" si="8">O200</f>
        <v>16325</v>
      </c>
      <c r="P22" s="2">
        <f t="shared" si="8"/>
        <v>14104</v>
      </c>
      <c r="Q22" s="2">
        <f t="shared" si="8"/>
        <v>375</v>
      </c>
      <c r="R22" s="2">
        <f t="shared" si="8"/>
        <v>35</v>
      </c>
      <c r="S22" s="2">
        <f t="shared" si="8"/>
        <v>1846</v>
      </c>
      <c r="T22" s="2">
        <f t="shared" si="8"/>
        <v>0</v>
      </c>
      <c r="U22" s="2">
        <f t="shared" si="8"/>
        <v>212.77353589999996</v>
      </c>
      <c r="V22" s="2">
        <f t="shared" si="8"/>
        <v>3.0041785999999999</v>
      </c>
      <c r="W22" s="2">
        <f t="shared" si="8"/>
        <v>0</v>
      </c>
      <c r="X22" s="2">
        <f t="shared" si="8"/>
        <v>1904</v>
      </c>
      <c r="Y22" s="2">
        <f t="shared" si="8"/>
        <v>945</v>
      </c>
      <c r="Z22" s="2">
        <f t="shared" si="8"/>
        <v>0</v>
      </c>
      <c r="AA22" s="2">
        <f t="shared" si="8"/>
        <v>0</v>
      </c>
      <c r="AB22" s="2">
        <f t="shared" si="8"/>
        <v>0</v>
      </c>
      <c r="AC22" s="2">
        <f t="shared" si="8"/>
        <v>0</v>
      </c>
      <c r="AD22" s="2">
        <f t="shared" si="8"/>
        <v>0</v>
      </c>
      <c r="AE22" s="2">
        <f t="shared" si="8"/>
        <v>0</v>
      </c>
      <c r="AF22" s="2">
        <f t="shared" si="8"/>
        <v>0</v>
      </c>
      <c r="AG22" s="2">
        <f t="shared" si="8"/>
        <v>0</v>
      </c>
      <c r="AH22" s="2">
        <f t="shared" si="8"/>
        <v>0</v>
      </c>
      <c r="AI22" s="2">
        <f t="shared" si="8"/>
        <v>0</v>
      </c>
      <c r="AJ22" s="2">
        <f t="shared" si="8"/>
        <v>0</v>
      </c>
      <c r="AK22" s="2">
        <f t="shared" si="8"/>
        <v>0</v>
      </c>
      <c r="AL22" s="2">
        <f t="shared" si="8"/>
        <v>0</v>
      </c>
      <c r="AM22" s="2">
        <f t="shared" si="8"/>
        <v>0</v>
      </c>
      <c r="AN22" s="2">
        <f t="shared" si="8"/>
        <v>0</v>
      </c>
      <c r="AO22" s="2">
        <f t="shared" si="8"/>
        <v>0</v>
      </c>
      <c r="AP22" s="2">
        <f t="shared" si="8"/>
        <v>0</v>
      </c>
      <c r="AQ22" s="2">
        <f t="shared" si="8"/>
        <v>0</v>
      </c>
      <c r="AR22" s="2">
        <f t="shared" si="8"/>
        <v>19174</v>
      </c>
      <c r="AS22" s="2">
        <f t="shared" si="8"/>
        <v>18958</v>
      </c>
      <c r="AT22" s="2">
        <f t="shared" si="8"/>
        <v>216</v>
      </c>
      <c r="AU22" s="2">
        <f t="shared" ref="AU22:BZ22" si="9">AU200</f>
        <v>0</v>
      </c>
      <c r="AV22" s="2">
        <f t="shared" si="9"/>
        <v>14104</v>
      </c>
      <c r="AW22" s="2">
        <f t="shared" si="9"/>
        <v>14104</v>
      </c>
      <c r="AX22" s="2">
        <f t="shared" si="9"/>
        <v>0</v>
      </c>
      <c r="AY22" s="2">
        <f t="shared" si="9"/>
        <v>14104</v>
      </c>
      <c r="AZ22" s="2">
        <f t="shared" si="9"/>
        <v>0</v>
      </c>
      <c r="BA22" s="2">
        <f t="shared" si="9"/>
        <v>0</v>
      </c>
      <c r="BB22" s="2">
        <f t="shared" si="9"/>
        <v>0</v>
      </c>
      <c r="BC22" s="2">
        <f t="shared" si="9"/>
        <v>0</v>
      </c>
      <c r="BD22" s="2">
        <f t="shared" si="9"/>
        <v>0</v>
      </c>
      <c r="BE22" s="2">
        <f t="shared" si="9"/>
        <v>0</v>
      </c>
      <c r="BF22" s="2">
        <f t="shared" si="9"/>
        <v>0</v>
      </c>
      <c r="BG22" s="2">
        <f t="shared" si="9"/>
        <v>0</v>
      </c>
      <c r="BH22" s="2">
        <f t="shared" si="9"/>
        <v>0</v>
      </c>
      <c r="BI22" s="2">
        <f t="shared" si="9"/>
        <v>0</v>
      </c>
      <c r="BJ22" s="2">
        <f t="shared" si="9"/>
        <v>0</v>
      </c>
      <c r="BK22" s="2">
        <f t="shared" si="9"/>
        <v>0</v>
      </c>
      <c r="BL22" s="2">
        <f t="shared" si="9"/>
        <v>0</v>
      </c>
      <c r="BM22" s="2">
        <f t="shared" si="9"/>
        <v>0</v>
      </c>
      <c r="BN22" s="2">
        <f t="shared" si="9"/>
        <v>0</v>
      </c>
      <c r="BO22" s="2">
        <f t="shared" si="9"/>
        <v>0</v>
      </c>
      <c r="BP22" s="2">
        <f t="shared" si="9"/>
        <v>0</v>
      </c>
      <c r="BQ22" s="2">
        <f t="shared" si="9"/>
        <v>0</v>
      </c>
      <c r="BR22" s="2">
        <f t="shared" si="9"/>
        <v>0</v>
      </c>
      <c r="BS22" s="2">
        <f t="shared" si="9"/>
        <v>0</v>
      </c>
      <c r="BT22" s="2">
        <f t="shared" si="9"/>
        <v>0</v>
      </c>
      <c r="BU22" s="2">
        <f t="shared" si="9"/>
        <v>0</v>
      </c>
      <c r="BV22" s="2">
        <f t="shared" si="9"/>
        <v>0</v>
      </c>
      <c r="BW22" s="2">
        <f t="shared" si="9"/>
        <v>0</v>
      </c>
      <c r="BX22" s="2">
        <f t="shared" si="9"/>
        <v>0</v>
      </c>
      <c r="BY22" s="2">
        <f t="shared" si="9"/>
        <v>0</v>
      </c>
      <c r="BZ22" s="2">
        <f t="shared" si="9"/>
        <v>0</v>
      </c>
      <c r="CA22" s="2">
        <f t="shared" ref="CA22:DF22" si="10">CA200</f>
        <v>0</v>
      </c>
      <c r="CB22" s="2">
        <f t="shared" si="10"/>
        <v>0</v>
      </c>
      <c r="CC22" s="2">
        <f t="shared" si="10"/>
        <v>0</v>
      </c>
      <c r="CD22" s="2">
        <f t="shared" si="10"/>
        <v>0</v>
      </c>
      <c r="CE22" s="2">
        <f t="shared" si="10"/>
        <v>0</v>
      </c>
      <c r="CF22" s="2">
        <f t="shared" si="10"/>
        <v>0</v>
      </c>
      <c r="CG22" s="2">
        <f t="shared" si="10"/>
        <v>0</v>
      </c>
      <c r="CH22" s="2">
        <f t="shared" si="10"/>
        <v>0</v>
      </c>
      <c r="CI22" s="2">
        <f t="shared" si="10"/>
        <v>0</v>
      </c>
      <c r="CJ22" s="2">
        <f t="shared" si="10"/>
        <v>0</v>
      </c>
      <c r="CK22" s="2">
        <f t="shared" si="10"/>
        <v>0</v>
      </c>
      <c r="CL22" s="2">
        <f t="shared" si="10"/>
        <v>0</v>
      </c>
      <c r="CM22" s="2">
        <f t="shared" si="10"/>
        <v>0</v>
      </c>
      <c r="CN22" s="2">
        <f t="shared" si="10"/>
        <v>0</v>
      </c>
      <c r="CO22" s="2">
        <f t="shared" si="10"/>
        <v>0</v>
      </c>
      <c r="CP22" s="2">
        <f t="shared" si="10"/>
        <v>0</v>
      </c>
      <c r="CQ22" s="2">
        <f t="shared" si="10"/>
        <v>0</v>
      </c>
      <c r="CR22" s="2">
        <f t="shared" si="10"/>
        <v>0</v>
      </c>
      <c r="CS22" s="2">
        <f t="shared" si="10"/>
        <v>0</v>
      </c>
      <c r="CT22" s="2">
        <f t="shared" si="10"/>
        <v>0</v>
      </c>
      <c r="CU22" s="2">
        <f t="shared" si="10"/>
        <v>0</v>
      </c>
      <c r="CV22" s="2">
        <f t="shared" si="10"/>
        <v>0</v>
      </c>
      <c r="CW22" s="2">
        <f t="shared" si="10"/>
        <v>0</v>
      </c>
      <c r="CX22" s="2">
        <f t="shared" si="10"/>
        <v>0</v>
      </c>
      <c r="CY22" s="2">
        <f t="shared" si="10"/>
        <v>0</v>
      </c>
      <c r="CZ22" s="2">
        <f t="shared" si="10"/>
        <v>0</v>
      </c>
      <c r="DA22" s="2">
        <f t="shared" si="10"/>
        <v>0</v>
      </c>
      <c r="DB22" s="2">
        <f t="shared" si="10"/>
        <v>0</v>
      </c>
      <c r="DC22" s="2">
        <f t="shared" si="10"/>
        <v>0</v>
      </c>
      <c r="DD22" s="2">
        <f t="shared" si="10"/>
        <v>0</v>
      </c>
      <c r="DE22" s="2">
        <f t="shared" si="10"/>
        <v>0</v>
      </c>
      <c r="DF22" s="2">
        <f t="shared" si="10"/>
        <v>0</v>
      </c>
      <c r="DG22" s="3">
        <f t="shared" ref="DG22:EL22" si="11">DG200</f>
        <v>0</v>
      </c>
      <c r="DH22" s="3">
        <f t="shared" si="11"/>
        <v>0</v>
      </c>
      <c r="DI22" s="3">
        <f t="shared" si="11"/>
        <v>0</v>
      </c>
      <c r="DJ22" s="3">
        <f t="shared" si="11"/>
        <v>0</v>
      </c>
      <c r="DK22" s="3">
        <f t="shared" si="11"/>
        <v>0</v>
      </c>
      <c r="DL22" s="3">
        <f t="shared" si="11"/>
        <v>0</v>
      </c>
      <c r="DM22" s="3">
        <f t="shared" si="11"/>
        <v>0</v>
      </c>
      <c r="DN22" s="3">
        <f t="shared" si="11"/>
        <v>0</v>
      </c>
      <c r="DO22" s="3">
        <f t="shared" si="11"/>
        <v>0</v>
      </c>
      <c r="DP22" s="3">
        <f t="shared" si="11"/>
        <v>0</v>
      </c>
      <c r="DQ22" s="3">
        <f t="shared" si="11"/>
        <v>0</v>
      </c>
      <c r="DR22" s="3">
        <f t="shared" si="11"/>
        <v>0</v>
      </c>
      <c r="DS22" s="3">
        <f t="shared" si="11"/>
        <v>0</v>
      </c>
      <c r="DT22" s="3">
        <f t="shared" si="11"/>
        <v>0</v>
      </c>
      <c r="DU22" s="3">
        <f t="shared" si="11"/>
        <v>0</v>
      </c>
      <c r="DV22" s="3">
        <f t="shared" si="11"/>
        <v>0</v>
      </c>
      <c r="DW22" s="3">
        <f t="shared" si="11"/>
        <v>0</v>
      </c>
      <c r="DX22" s="3">
        <f t="shared" si="11"/>
        <v>0</v>
      </c>
      <c r="DY22" s="3">
        <f t="shared" si="11"/>
        <v>0</v>
      </c>
      <c r="DZ22" s="3">
        <f t="shared" si="11"/>
        <v>0</v>
      </c>
      <c r="EA22" s="3">
        <f t="shared" si="11"/>
        <v>0</v>
      </c>
      <c r="EB22" s="3">
        <f t="shared" si="11"/>
        <v>0</v>
      </c>
      <c r="EC22" s="3">
        <f t="shared" si="11"/>
        <v>0</v>
      </c>
      <c r="ED22" s="3">
        <f t="shared" si="11"/>
        <v>0</v>
      </c>
      <c r="EE22" s="3">
        <f t="shared" si="11"/>
        <v>0</v>
      </c>
      <c r="EF22" s="3">
        <f t="shared" si="11"/>
        <v>0</v>
      </c>
      <c r="EG22" s="3">
        <f t="shared" si="11"/>
        <v>0</v>
      </c>
      <c r="EH22" s="3">
        <f t="shared" si="11"/>
        <v>0</v>
      </c>
      <c r="EI22" s="3">
        <f t="shared" si="11"/>
        <v>0</v>
      </c>
      <c r="EJ22" s="3">
        <f t="shared" si="11"/>
        <v>0</v>
      </c>
      <c r="EK22" s="3">
        <f t="shared" si="11"/>
        <v>0</v>
      </c>
      <c r="EL22" s="3">
        <f t="shared" si="11"/>
        <v>0</v>
      </c>
      <c r="EM22" s="3">
        <f t="shared" ref="EM22:FR22" si="12">EM200</f>
        <v>0</v>
      </c>
      <c r="EN22" s="3">
        <f t="shared" si="12"/>
        <v>0</v>
      </c>
      <c r="EO22" s="3">
        <f t="shared" si="12"/>
        <v>0</v>
      </c>
      <c r="EP22" s="3">
        <f t="shared" si="12"/>
        <v>0</v>
      </c>
      <c r="EQ22" s="3">
        <f t="shared" si="12"/>
        <v>0</v>
      </c>
      <c r="ER22" s="3">
        <f t="shared" si="12"/>
        <v>0</v>
      </c>
      <c r="ES22" s="3">
        <f t="shared" si="12"/>
        <v>0</v>
      </c>
      <c r="ET22" s="3">
        <f t="shared" si="12"/>
        <v>0</v>
      </c>
      <c r="EU22" s="3">
        <f t="shared" si="12"/>
        <v>0</v>
      </c>
      <c r="EV22" s="3">
        <f t="shared" si="12"/>
        <v>0</v>
      </c>
      <c r="EW22" s="3">
        <f t="shared" si="12"/>
        <v>0</v>
      </c>
      <c r="EX22" s="3">
        <f t="shared" si="12"/>
        <v>0</v>
      </c>
      <c r="EY22" s="3">
        <f t="shared" si="12"/>
        <v>0</v>
      </c>
      <c r="EZ22" s="3">
        <f t="shared" si="12"/>
        <v>0</v>
      </c>
      <c r="FA22" s="3">
        <f t="shared" si="12"/>
        <v>0</v>
      </c>
      <c r="FB22" s="3">
        <f t="shared" si="12"/>
        <v>0</v>
      </c>
      <c r="FC22" s="3">
        <f t="shared" si="12"/>
        <v>0</v>
      </c>
      <c r="FD22" s="3">
        <f t="shared" si="12"/>
        <v>0</v>
      </c>
      <c r="FE22" s="3">
        <f t="shared" si="12"/>
        <v>0</v>
      </c>
      <c r="FF22" s="3">
        <f t="shared" si="12"/>
        <v>0</v>
      </c>
      <c r="FG22" s="3">
        <f t="shared" si="12"/>
        <v>0</v>
      </c>
      <c r="FH22" s="3">
        <f t="shared" si="12"/>
        <v>0</v>
      </c>
      <c r="FI22" s="3">
        <f t="shared" si="12"/>
        <v>0</v>
      </c>
      <c r="FJ22" s="3">
        <f t="shared" si="12"/>
        <v>0</v>
      </c>
      <c r="FK22" s="3">
        <f t="shared" si="12"/>
        <v>0</v>
      </c>
      <c r="FL22" s="3">
        <f t="shared" si="12"/>
        <v>0</v>
      </c>
      <c r="FM22" s="3">
        <f t="shared" si="12"/>
        <v>0</v>
      </c>
      <c r="FN22" s="3">
        <f t="shared" si="12"/>
        <v>0</v>
      </c>
      <c r="FO22" s="3">
        <f t="shared" si="12"/>
        <v>0</v>
      </c>
      <c r="FP22" s="3">
        <f t="shared" si="12"/>
        <v>0</v>
      </c>
      <c r="FQ22" s="3">
        <f t="shared" si="12"/>
        <v>0</v>
      </c>
      <c r="FR22" s="3">
        <f t="shared" si="12"/>
        <v>0</v>
      </c>
      <c r="FS22" s="3">
        <f t="shared" ref="FS22:GX22" si="13">FS200</f>
        <v>0</v>
      </c>
      <c r="FT22" s="3">
        <f t="shared" si="13"/>
        <v>0</v>
      </c>
      <c r="FU22" s="3">
        <f t="shared" si="13"/>
        <v>0</v>
      </c>
      <c r="FV22" s="3">
        <f t="shared" si="13"/>
        <v>0</v>
      </c>
      <c r="FW22" s="3">
        <f t="shared" si="13"/>
        <v>0</v>
      </c>
      <c r="FX22" s="3">
        <f t="shared" si="13"/>
        <v>0</v>
      </c>
      <c r="FY22" s="3">
        <f t="shared" si="13"/>
        <v>0</v>
      </c>
      <c r="FZ22" s="3">
        <f t="shared" si="13"/>
        <v>0</v>
      </c>
      <c r="GA22" s="3">
        <f t="shared" si="13"/>
        <v>0</v>
      </c>
      <c r="GB22" s="3">
        <f t="shared" si="13"/>
        <v>0</v>
      </c>
      <c r="GC22" s="3">
        <f t="shared" si="13"/>
        <v>0</v>
      </c>
      <c r="GD22" s="3">
        <f t="shared" si="13"/>
        <v>0</v>
      </c>
      <c r="GE22" s="3">
        <f t="shared" si="13"/>
        <v>0</v>
      </c>
      <c r="GF22" s="3">
        <f t="shared" si="13"/>
        <v>0</v>
      </c>
      <c r="GG22" s="3">
        <f t="shared" si="13"/>
        <v>0</v>
      </c>
      <c r="GH22" s="3">
        <f t="shared" si="13"/>
        <v>0</v>
      </c>
      <c r="GI22" s="3">
        <f t="shared" si="13"/>
        <v>0</v>
      </c>
      <c r="GJ22" s="3">
        <f t="shared" si="13"/>
        <v>0</v>
      </c>
      <c r="GK22" s="3">
        <f t="shared" si="13"/>
        <v>0</v>
      </c>
      <c r="GL22" s="3">
        <f t="shared" si="13"/>
        <v>0</v>
      </c>
      <c r="GM22" s="3">
        <f t="shared" si="13"/>
        <v>0</v>
      </c>
      <c r="GN22" s="3">
        <f t="shared" si="13"/>
        <v>0</v>
      </c>
      <c r="GO22" s="3">
        <f t="shared" si="13"/>
        <v>0</v>
      </c>
      <c r="GP22" s="3">
        <f t="shared" si="13"/>
        <v>0</v>
      </c>
      <c r="GQ22" s="3">
        <f t="shared" si="13"/>
        <v>0</v>
      </c>
      <c r="GR22" s="3">
        <f t="shared" si="13"/>
        <v>0</v>
      </c>
      <c r="GS22" s="3">
        <f t="shared" si="13"/>
        <v>0</v>
      </c>
      <c r="GT22" s="3">
        <f t="shared" si="13"/>
        <v>0</v>
      </c>
      <c r="GU22" s="3">
        <f t="shared" si="13"/>
        <v>0</v>
      </c>
      <c r="GV22" s="3">
        <f t="shared" si="13"/>
        <v>0</v>
      </c>
      <c r="GW22" s="3">
        <f t="shared" si="13"/>
        <v>0</v>
      </c>
      <c r="GX22" s="3">
        <f t="shared" si="13"/>
        <v>0</v>
      </c>
    </row>
    <row r="24" spans="1:245" x14ac:dyDescent="0.2">
      <c r="A24" s="1">
        <v>4</v>
      </c>
      <c r="B24" s="1">
        <v>1</v>
      </c>
      <c r="C24" s="1"/>
      <c r="D24" s="1">
        <f>ROW(A48)</f>
        <v>48</v>
      </c>
      <c r="E24" s="1"/>
      <c r="F24" s="1" t="s">
        <v>13</v>
      </c>
      <c r="G24" s="1" t="s">
        <v>14</v>
      </c>
      <c r="H24" s="1" t="s">
        <v>2</v>
      </c>
      <c r="I24" s="1">
        <v>0</v>
      </c>
      <c r="J24" s="1"/>
      <c r="K24" s="1">
        <v>0</v>
      </c>
      <c r="L24" s="1"/>
      <c r="M24" s="1" t="s">
        <v>2</v>
      </c>
      <c r="N24" s="1"/>
      <c r="O24" s="1"/>
      <c r="P24" s="1"/>
      <c r="Q24" s="1"/>
      <c r="R24" s="1"/>
      <c r="S24" s="1">
        <v>0</v>
      </c>
      <c r="T24" s="1"/>
      <c r="U24" s="1" t="s">
        <v>2</v>
      </c>
      <c r="V24" s="1">
        <v>0</v>
      </c>
      <c r="W24" s="1"/>
      <c r="X24" s="1"/>
      <c r="Y24" s="1"/>
      <c r="Z24" s="1"/>
      <c r="AA24" s="1"/>
      <c r="AB24" s="1" t="s">
        <v>2</v>
      </c>
      <c r="AC24" s="1" t="s">
        <v>2</v>
      </c>
      <c r="AD24" s="1" t="s">
        <v>2</v>
      </c>
      <c r="AE24" s="1" t="s">
        <v>2</v>
      </c>
      <c r="AF24" s="1" t="s">
        <v>2</v>
      </c>
      <c r="AG24" s="1" t="s">
        <v>2</v>
      </c>
      <c r="AH24" s="1"/>
      <c r="AI24" s="1"/>
      <c r="AJ24" s="1"/>
      <c r="AK24" s="1"/>
      <c r="AL24" s="1"/>
      <c r="AM24" s="1"/>
      <c r="AN24" s="1"/>
      <c r="AO24" s="1"/>
      <c r="AP24" s="1" t="s">
        <v>2</v>
      </c>
      <c r="AQ24" s="1" t="s">
        <v>2</v>
      </c>
      <c r="AR24" s="1" t="s">
        <v>2</v>
      </c>
      <c r="AS24" s="1"/>
      <c r="AT24" s="1"/>
      <c r="AU24" s="1"/>
      <c r="AV24" s="1"/>
      <c r="AW24" s="1"/>
      <c r="AX24" s="1"/>
      <c r="AY24" s="1"/>
      <c r="AZ24" s="1" t="s">
        <v>2</v>
      </c>
      <c r="BA24" s="1"/>
      <c r="BB24" s="1" t="s">
        <v>2</v>
      </c>
      <c r="BC24" s="1" t="s">
        <v>2</v>
      </c>
      <c r="BD24" s="1" t="s">
        <v>2</v>
      </c>
      <c r="BE24" s="1" t="s">
        <v>2</v>
      </c>
      <c r="BF24" s="1" t="s">
        <v>2</v>
      </c>
      <c r="BG24" s="1" t="s">
        <v>2</v>
      </c>
      <c r="BH24" s="1" t="s">
        <v>2</v>
      </c>
      <c r="BI24" s="1" t="s">
        <v>2</v>
      </c>
      <c r="BJ24" s="1" t="s">
        <v>2</v>
      </c>
      <c r="BK24" s="1" t="s">
        <v>2</v>
      </c>
      <c r="BL24" s="1" t="s">
        <v>2</v>
      </c>
      <c r="BM24" s="1" t="s">
        <v>2</v>
      </c>
      <c r="BN24" s="1" t="s">
        <v>2</v>
      </c>
      <c r="BO24" s="1" t="s">
        <v>2</v>
      </c>
      <c r="BP24" s="1" t="s">
        <v>2</v>
      </c>
      <c r="BQ24" s="1"/>
      <c r="BR24" s="1"/>
      <c r="BS24" s="1"/>
      <c r="BT24" s="1"/>
      <c r="BU24" s="1"/>
      <c r="BV24" s="1"/>
      <c r="BW24" s="1"/>
      <c r="BX24" s="1">
        <v>0</v>
      </c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>
        <v>0</v>
      </c>
    </row>
    <row r="26" spans="1:245" x14ac:dyDescent="0.2">
      <c r="A26" s="2">
        <v>52</v>
      </c>
      <c r="B26" s="2">
        <f t="shared" ref="B26:G26" si="14">B48</f>
        <v>1</v>
      </c>
      <c r="C26" s="2">
        <f t="shared" si="14"/>
        <v>4</v>
      </c>
      <c r="D26" s="2">
        <f t="shared" si="14"/>
        <v>24</v>
      </c>
      <c r="E26" s="2">
        <f t="shared" si="14"/>
        <v>0</v>
      </c>
      <c r="F26" s="2" t="str">
        <f t="shared" si="14"/>
        <v>Новый раздел</v>
      </c>
      <c r="G26" s="2" t="str">
        <f t="shared" si="14"/>
        <v>Кладовая</v>
      </c>
      <c r="H26" s="2"/>
      <c r="I26" s="2"/>
      <c r="J26" s="2"/>
      <c r="K26" s="2"/>
      <c r="L26" s="2"/>
      <c r="M26" s="2"/>
      <c r="N26" s="2"/>
      <c r="O26" s="2">
        <f t="shared" ref="O26:AT26" si="15">O48</f>
        <v>14478</v>
      </c>
      <c r="P26" s="2">
        <f t="shared" si="15"/>
        <v>13067</v>
      </c>
      <c r="Q26" s="2">
        <f t="shared" si="15"/>
        <v>98</v>
      </c>
      <c r="R26" s="2">
        <f t="shared" si="15"/>
        <v>30</v>
      </c>
      <c r="S26" s="2">
        <f t="shared" si="15"/>
        <v>1313</v>
      </c>
      <c r="T26" s="2">
        <f t="shared" si="15"/>
        <v>0</v>
      </c>
      <c r="U26" s="2">
        <f t="shared" si="15"/>
        <v>153.18743039999998</v>
      </c>
      <c r="V26" s="2">
        <f t="shared" si="15"/>
        <v>2.5946199999999999</v>
      </c>
      <c r="W26" s="2">
        <f t="shared" si="15"/>
        <v>0</v>
      </c>
      <c r="X26" s="2">
        <f t="shared" si="15"/>
        <v>1374</v>
      </c>
      <c r="Y26" s="2">
        <f t="shared" si="15"/>
        <v>686</v>
      </c>
      <c r="Z26" s="2">
        <f t="shared" si="15"/>
        <v>0</v>
      </c>
      <c r="AA26" s="2">
        <f t="shared" si="15"/>
        <v>0</v>
      </c>
      <c r="AB26" s="2">
        <f t="shared" si="15"/>
        <v>14478</v>
      </c>
      <c r="AC26" s="2">
        <f t="shared" si="15"/>
        <v>13067</v>
      </c>
      <c r="AD26" s="2">
        <f t="shared" si="15"/>
        <v>98</v>
      </c>
      <c r="AE26" s="2">
        <f t="shared" si="15"/>
        <v>30</v>
      </c>
      <c r="AF26" s="2">
        <f t="shared" si="15"/>
        <v>1313</v>
      </c>
      <c r="AG26" s="2">
        <f t="shared" si="15"/>
        <v>0</v>
      </c>
      <c r="AH26" s="2">
        <f t="shared" si="15"/>
        <v>153.18743039999998</v>
      </c>
      <c r="AI26" s="2">
        <f t="shared" si="15"/>
        <v>2.5946199999999999</v>
      </c>
      <c r="AJ26" s="2">
        <f t="shared" si="15"/>
        <v>0</v>
      </c>
      <c r="AK26" s="2">
        <f t="shared" si="15"/>
        <v>1374</v>
      </c>
      <c r="AL26" s="2">
        <f t="shared" si="15"/>
        <v>686</v>
      </c>
      <c r="AM26" s="2">
        <f t="shared" si="15"/>
        <v>0</v>
      </c>
      <c r="AN26" s="2">
        <f t="shared" si="15"/>
        <v>0</v>
      </c>
      <c r="AO26" s="2">
        <f t="shared" si="15"/>
        <v>0</v>
      </c>
      <c r="AP26" s="2">
        <f t="shared" si="15"/>
        <v>0</v>
      </c>
      <c r="AQ26" s="2">
        <f t="shared" si="15"/>
        <v>0</v>
      </c>
      <c r="AR26" s="2">
        <f t="shared" si="15"/>
        <v>16538</v>
      </c>
      <c r="AS26" s="2">
        <f t="shared" si="15"/>
        <v>16538</v>
      </c>
      <c r="AT26" s="2">
        <f t="shared" si="15"/>
        <v>0</v>
      </c>
      <c r="AU26" s="2">
        <f t="shared" ref="AU26:BZ26" si="16">AU48</f>
        <v>0</v>
      </c>
      <c r="AV26" s="2">
        <f t="shared" si="16"/>
        <v>13067</v>
      </c>
      <c r="AW26" s="2">
        <f t="shared" si="16"/>
        <v>13067</v>
      </c>
      <c r="AX26" s="2">
        <f t="shared" si="16"/>
        <v>0</v>
      </c>
      <c r="AY26" s="2">
        <f t="shared" si="16"/>
        <v>13067</v>
      </c>
      <c r="AZ26" s="2">
        <f t="shared" si="16"/>
        <v>0</v>
      </c>
      <c r="BA26" s="2">
        <f t="shared" si="16"/>
        <v>0</v>
      </c>
      <c r="BB26" s="2">
        <f t="shared" si="16"/>
        <v>0</v>
      </c>
      <c r="BC26" s="2">
        <f t="shared" si="16"/>
        <v>0</v>
      </c>
      <c r="BD26" s="2">
        <f t="shared" si="16"/>
        <v>0</v>
      </c>
      <c r="BE26" s="2">
        <f t="shared" si="16"/>
        <v>0</v>
      </c>
      <c r="BF26" s="2">
        <f t="shared" si="16"/>
        <v>0</v>
      </c>
      <c r="BG26" s="2">
        <f t="shared" si="16"/>
        <v>0</v>
      </c>
      <c r="BH26" s="2">
        <f t="shared" si="16"/>
        <v>0</v>
      </c>
      <c r="BI26" s="2">
        <f t="shared" si="16"/>
        <v>0</v>
      </c>
      <c r="BJ26" s="2">
        <f t="shared" si="16"/>
        <v>0</v>
      </c>
      <c r="BK26" s="2">
        <f t="shared" si="16"/>
        <v>0</v>
      </c>
      <c r="BL26" s="2">
        <f t="shared" si="16"/>
        <v>0</v>
      </c>
      <c r="BM26" s="2">
        <f t="shared" si="16"/>
        <v>0</v>
      </c>
      <c r="BN26" s="2">
        <f t="shared" si="16"/>
        <v>0</v>
      </c>
      <c r="BO26" s="2">
        <f t="shared" si="16"/>
        <v>0</v>
      </c>
      <c r="BP26" s="2">
        <f t="shared" si="16"/>
        <v>0</v>
      </c>
      <c r="BQ26" s="2">
        <f t="shared" si="16"/>
        <v>0</v>
      </c>
      <c r="BR26" s="2">
        <f t="shared" si="16"/>
        <v>0</v>
      </c>
      <c r="BS26" s="2">
        <f t="shared" si="16"/>
        <v>0</v>
      </c>
      <c r="BT26" s="2">
        <f t="shared" si="16"/>
        <v>0</v>
      </c>
      <c r="BU26" s="2">
        <f t="shared" si="16"/>
        <v>0</v>
      </c>
      <c r="BV26" s="2">
        <f t="shared" si="16"/>
        <v>0</v>
      </c>
      <c r="BW26" s="2">
        <f t="shared" si="16"/>
        <v>0</v>
      </c>
      <c r="BX26" s="2">
        <f t="shared" si="16"/>
        <v>0</v>
      </c>
      <c r="BY26" s="2">
        <f t="shared" si="16"/>
        <v>0</v>
      </c>
      <c r="BZ26" s="2">
        <f t="shared" si="16"/>
        <v>0</v>
      </c>
      <c r="CA26" s="2">
        <f t="shared" ref="CA26:DF26" si="17">CA48</f>
        <v>16538</v>
      </c>
      <c r="CB26" s="2">
        <f t="shared" si="17"/>
        <v>16538</v>
      </c>
      <c r="CC26" s="2">
        <f t="shared" si="17"/>
        <v>0</v>
      </c>
      <c r="CD26" s="2">
        <f t="shared" si="17"/>
        <v>0</v>
      </c>
      <c r="CE26" s="2">
        <f t="shared" si="17"/>
        <v>13067</v>
      </c>
      <c r="CF26" s="2">
        <f t="shared" si="17"/>
        <v>13067</v>
      </c>
      <c r="CG26" s="2">
        <f t="shared" si="17"/>
        <v>0</v>
      </c>
      <c r="CH26" s="2">
        <f t="shared" si="17"/>
        <v>13067</v>
      </c>
      <c r="CI26" s="2">
        <f t="shared" si="17"/>
        <v>0</v>
      </c>
      <c r="CJ26" s="2">
        <f t="shared" si="17"/>
        <v>0</v>
      </c>
      <c r="CK26" s="2">
        <f t="shared" si="17"/>
        <v>0</v>
      </c>
      <c r="CL26" s="2">
        <f t="shared" si="17"/>
        <v>0</v>
      </c>
      <c r="CM26" s="2">
        <f t="shared" si="17"/>
        <v>0</v>
      </c>
      <c r="CN26" s="2">
        <f t="shared" si="17"/>
        <v>0</v>
      </c>
      <c r="CO26" s="2">
        <f t="shared" si="17"/>
        <v>0</v>
      </c>
      <c r="CP26" s="2">
        <f t="shared" si="17"/>
        <v>0</v>
      </c>
      <c r="CQ26" s="2">
        <f t="shared" si="17"/>
        <v>0</v>
      </c>
      <c r="CR26" s="2">
        <f t="shared" si="17"/>
        <v>0</v>
      </c>
      <c r="CS26" s="2">
        <f t="shared" si="17"/>
        <v>0</v>
      </c>
      <c r="CT26" s="2">
        <f t="shared" si="17"/>
        <v>0</v>
      </c>
      <c r="CU26" s="2">
        <f t="shared" si="17"/>
        <v>0</v>
      </c>
      <c r="CV26" s="2">
        <f t="shared" si="17"/>
        <v>0</v>
      </c>
      <c r="CW26" s="2">
        <f t="shared" si="17"/>
        <v>0</v>
      </c>
      <c r="CX26" s="2">
        <f t="shared" si="17"/>
        <v>0</v>
      </c>
      <c r="CY26" s="2">
        <f t="shared" si="17"/>
        <v>0</v>
      </c>
      <c r="CZ26" s="2">
        <f t="shared" si="17"/>
        <v>0</v>
      </c>
      <c r="DA26" s="2">
        <f t="shared" si="17"/>
        <v>0</v>
      </c>
      <c r="DB26" s="2">
        <f t="shared" si="17"/>
        <v>0</v>
      </c>
      <c r="DC26" s="2">
        <f t="shared" si="17"/>
        <v>0</v>
      </c>
      <c r="DD26" s="2">
        <f t="shared" si="17"/>
        <v>0</v>
      </c>
      <c r="DE26" s="2">
        <f t="shared" si="17"/>
        <v>0</v>
      </c>
      <c r="DF26" s="2">
        <f t="shared" si="17"/>
        <v>0</v>
      </c>
      <c r="DG26" s="3">
        <f t="shared" ref="DG26:EL26" si="18">DG48</f>
        <v>0</v>
      </c>
      <c r="DH26" s="3">
        <f t="shared" si="18"/>
        <v>0</v>
      </c>
      <c r="DI26" s="3">
        <f t="shared" si="18"/>
        <v>0</v>
      </c>
      <c r="DJ26" s="3">
        <f t="shared" si="18"/>
        <v>0</v>
      </c>
      <c r="DK26" s="3">
        <f t="shared" si="18"/>
        <v>0</v>
      </c>
      <c r="DL26" s="3">
        <f t="shared" si="18"/>
        <v>0</v>
      </c>
      <c r="DM26" s="3">
        <f t="shared" si="18"/>
        <v>0</v>
      </c>
      <c r="DN26" s="3">
        <f t="shared" si="18"/>
        <v>0</v>
      </c>
      <c r="DO26" s="3">
        <f t="shared" si="18"/>
        <v>0</v>
      </c>
      <c r="DP26" s="3">
        <f t="shared" si="18"/>
        <v>0</v>
      </c>
      <c r="DQ26" s="3">
        <f t="shared" si="18"/>
        <v>0</v>
      </c>
      <c r="DR26" s="3">
        <f t="shared" si="18"/>
        <v>0</v>
      </c>
      <c r="DS26" s="3">
        <f t="shared" si="18"/>
        <v>0</v>
      </c>
      <c r="DT26" s="3">
        <f t="shared" si="18"/>
        <v>0</v>
      </c>
      <c r="DU26" s="3">
        <f t="shared" si="18"/>
        <v>0</v>
      </c>
      <c r="DV26" s="3">
        <f t="shared" si="18"/>
        <v>0</v>
      </c>
      <c r="DW26" s="3">
        <f t="shared" si="18"/>
        <v>0</v>
      </c>
      <c r="DX26" s="3">
        <f t="shared" si="18"/>
        <v>0</v>
      </c>
      <c r="DY26" s="3">
        <f t="shared" si="18"/>
        <v>0</v>
      </c>
      <c r="DZ26" s="3">
        <f t="shared" si="18"/>
        <v>0</v>
      </c>
      <c r="EA26" s="3">
        <f t="shared" si="18"/>
        <v>0</v>
      </c>
      <c r="EB26" s="3">
        <f t="shared" si="18"/>
        <v>0</v>
      </c>
      <c r="EC26" s="3">
        <f t="shared" si="18"/>
        <v>0</v>
      </c>
      <c r="ED26" s="3">
        <f t="shared" si="18"/>
        <v>0</v>
      </c>
      <c r="EE26" s="3">
        <f t="shared" si="18"/>
        <v>0</v>
      </c>
      <c r="EF26" s="3">
        <f t="shared" si="18"/>
        <v>0</v>
      </c>
      <c r="EG26" s="3">
        <f t="shared" si="18"/>
        <v>0</v>
      </c>
      <c r="EH26" s="3">
        <f t="shared" si="18"/>
        <v>0</v>
      </c>
      <c r="EI26" s="3">
        <f t="shared" si="18"/>
        <v>0</v>
      </c>
      <c r="EJ26" s="3">
        <f t="shared" si="18"/>
        <v>0</v>
      </c>
      <c r="EK26" s="3">
        <f t="shared" si="18"/>
        <v>0</v>
      </c>
      <c r="EL26" s="3">
        <f t="shared" si="18"/>
        <v>0</v>
      </c>
      <c r="EM26" s="3">
        <f t="shared" ref="EM26:FR26" si="19">EM48</f>
        <v>0</v>
      </c>
      <c r="EN26" s="3">
        <f t="shared" si="19"/>
        <v>0</v>
      </c>
      <c r="EO26" s="3">
        <f t="shared" si="19"/>
        <v>0</v>
      </c>
      <c r="EP26" s="3">
        <f t="shared" si="19"/>
        <v>0</v>
      </c>
      <c r="EQ26" s="3">
        <f t="shared" si="19"/>
        <v>0</v>
      </c>
      <c r="ER26" s="3">
        <f t="shared" si="19"/>
        <v>0</v>
      </c>
      <c r="ES26" s="3">
        <f t="shared" si="19"/>
        <v>0</v>
      </c>
      <c r="ET26" s="3">
        <f t="shared" si="19"/>
        <v>0</v>
      </c>
      <c r="EU26" s="3">
        <f t="shared" si="19"/>
        <v>0</v>
      </c>
      <c r="EV26" s="3">
        <f t="shared" si="19"/>
        <v>0</v>
      </c>
      <c r="EW26" s="3">
        <f t="shared" si="19"/>
        <v>0</v>
      </c>
      <c r="EX26" s="3">
        <f t="shared" si="19"/>
        <v>0</v>
      </c>
      <c r="EY26" s="3">
        <f t="shared" si="19"/>
        <v>0</v>
      </c>
      <c r="EZ26" s="3">
        <f t="shared" si="19"/>
        <v>0</v>
      </c>
      <c r="FA26" s="3">
        <f t="shared" si="19"/>
        <v>0</v>
      </c>
      <c r="FB26" s="3">
        <f t="shared" si="19"/>
        <v>0</v>
      </c>
      <c r="FC26" s="3">
        <f t="shared" si="19"/>
        <v>0</v>
      </c>
      <c r="FD26" s="3">
        <f t="shared" si="19"/>
        <v>0</v>
      </c>
      <c r="FE26" s="3">
        <f t="shared" si="19"/>
        <v>0</v>
      </c>
      <c r="FF26" s="3">
        <f t="shared" si="19"/>
        <v>0</v>
      </c>
      <c r="FG26" s="3">
        <f t="shared" si="19"/>
        <v>0</v>
      </c>
      <c r="FH26" s="3">
        <f t="shared" si="19"/>
        <v>0</v>
      </c>
      <c r="FI26" s="3">
        <f t="shared" si="19"/>
        <v>0</v>
      </c>
      <c r="FJ26" s="3">
        <f t="shared" si="19"/>
        <v>0</v>
      </c>
      <c r="FK26" s="3">
        <f t="shared" si="19"/>
        <v>0</v>
      </c>
      <c r="FL26" s="3">
        <f t="shared" si="19"/>
        <v>0</v>
      </c>
      <c r="FM26" s="3">
        <f t="shared" si="19"/>
        <v>0</v>
      </c>
      <c r="FN26" s="3">
        <f t="shared" si="19"/>
        <v>0</v>
      </c>
      <c r="FO26" s="3">
        <f t="shared" si="19"/>
        <v>0</v>
      </c>
      <c r="FP26" s="3">
        <f t="shared" si="19"/>
        <v>0</v>
      </c>
      <c r="FQ26" s="3">
        <f t="shared" si="19"/>
        <v>0</v>
      </c>
      <c r="FR26" s="3">
        <f t="shared" si="19"/>
        <v>0</v>
      </c>
      <c r="FS26" s="3">
        <f t="shared" ref="FS26:GX26" si="20">FS48</f>
        <v>0</v>
      </c>
      <c r="FT26" s="3">
        <f t="shared" si="20"/>
        <v>0</v>
      </c>
      <c r="FU26" s="3">
        <f t="shared" si="20"/>
        <v>0</v>
      </c>
      <c r="FV26" s="3">
        <f t="shared" si="20"/>
        <v>0</v>
      </c>
      <c r="FW26" s="3">
        <f t="shared" si="20"/>
        <v>0</v>
      </c>
      <c r="FX26" s="3">
        <f t="shared" si="20"/>
        <v>0</v>
      </c>
      <c r="FY26" s="3">
        <f t="shared" si="20"/>
        <v>0</v>
      </c>
      <c r="FZ26" s="3">
        <f t="shared" si="20"/>
        <v>0</v>
      </c>
      <c r="GA26" s="3">
        <f t="shared" si="20"/>
        <v>0</v>
      </c>
      <c r="GB26" s="3">
        <f t="shared" si="20"/>
        <v>0</v>
      </c>
      <c r="GC26" s="3">
        <f t="shared" si="20"/>
        <v>0</v>
      </c>
      <c r="GD26" s="3">
        <f t="shared" si="20"/>
        <v>0</v>
      </c>
      <c r="GE26" s="3">
        <f t="shared" si="20"/>
        <v>0</v>
      </c>
      <c r="GF26" s="3">
        <f t="shared" si="20"/>
        <v>0</v>
      </c>
      <c r="GG26" s="3">
        <f t="shared" si="20"/>
        <v>0</v>
      </c>
      <c r="GH26" s="3">
        <f t="shared" si="20"/>
        <v>0</v>
      </c>
      <c r="GI26" s="3">
        <f t="shared" si="20"/>
        <v>0</v>
      </c>
      <c r="GJ26" s="3">
        <f t="shared" si="20"/>
        <v>0</v>
      </c>
      <c r="GK26" s="3">
        <f t="shared" si="20"/>
        <v>0</v>
      </c>
      <c r="GL26" s="3">
        <f t="shared" si="20"/>
        <v>0</v>
      </c>
      <c r="GM26" s="3">
        <f t="shared" si="20"/>
        <v>0</v>
      </c>
      <c r="GN26" s="3">
        <f t="shared" si="20"/>
        <v>0</v>
      </c>
      <c r="GO26" s="3">
        <f t="shared" si="20"/>
        <v>0</v>
      </c>
      <c r="GP26" s="3">
        <f t="shared" si="20"/>
        <v>0</v>
      </c>
      <c r="GQ26" s="3">
        <f t="shared" si="20"/>
        <v>0</v>
      </c>
      <c r="GR26" s="3">
        <f t="shared" si="20"/>
        <v>0</v>
      </c>
      <c r="GS26" s="3">
        <f t="shared" si="20"/>
        <v>0</v>
      </c>
      <c r="GT26" s="3">
        <f t="shared" si="20"/>
        <v>0</v>
      </c>
      <c r="GU26" s="3">
        <f t="shared" si="20"/>
        <v>0</v>
      </c>
      <c r="GV26" s="3">
        <f t="shared" si="20"/>
        <v>0</v>
      </c>
      <c r="GW26" s="3">
        <f t="shared" si="20"/>
        <v>0</v>
      </c>
      <c r="GX26" s="3">
        <f t="shared" si="20"/>
        <v>0</v>
      </c>
    </row>
    <row r="28" spans="1:245" x14ac:dyDescent="0.2">
      <c r="A28">
        <v>17</v>
      </c>
      <c r="B28">
        <v>1</v>
      </c>
      <c r="C28">
        <f>ROW(SmtRes!A2)</f>
        <v>2</v>
      </c>
      <c r="D28">
        <f>ROW(EtalonRes!A2)</f>
        <v>2</v>
      </c>
      <c r="E28" t="s">
        <v>15</v>
      </c>
      <c r="F28" t="s">
        <v>16</v>
      </c>
      <c r="G28" t="s">
        <v>17</v>
      </c>
      <c r="H28" t="s">
        <v>18</v>
      </c>
      <c r="I28">
        <v>0.5</v>
      </c>
      <c r="J28">
        <v>0</v>
      </c>
      <c r="O28">
        <f t="shared" ref="O28:O46" si="21">ROUND(CP28,0)</f>
        <v>12</v>
      </c>
      <c r="P28">
        <f t="shared" ref="P28:P46" si="22">ROUND(CQ28*I28,0)</f>
        <v>8</v>
      </c>
      <c r="Q28">
        <f t="shared" ref="Q28:Q46" si="23">ROUND(CR28*I28,0)</f>
        <v>0</v>
      </c>
      <c r="R28">
        <f t="shared" ref="R28:R46" si="24">ROUND(CS28*I28,0)</f>
        <v>0</v>
      </c>
      <c r="S28">
        <f t="shared" ref="S28:S46" si="25">ROUND(CT28*I28,0)</f>
        <v>4</v>
      </c>
      <c r="T28">
        <f t="shared" ref="T28:T46" si="26">ROUND(CU28*I28,0)</f>
        <v>0</v>
      </c>
      <c r="U28">
        <f t="shared" ref="U28:U46" si="27">CV28*I28</f>
        <v>0.51500000000000001</v>
      </c>
      <c r="V28">
        <f t="shared" ref="V28:V46" si="28">CW28*I28</f>
        <v>0</v>
      </c>
      <c r="W28">
        <f t="shared" ref="W28:W46" si="29">ROUND(CX28*I28,0)</f>
        <v>0</v>
      </c>
      <c r="X28">
        <f t="shared" ref="X28:X46" si="30">ROUND(CY28,0)</f>
        <v>4</v>
      </c>
      <c r="Y28">
        <f t="shared" ref="Y28:Y46" si="31">ROUND(CZ28,0)</f>
        <v>2</v>
      </c>
      <c r="AA28">
        <v>224527337</v>
      </c>
      <c r="AB28">
        <f t="shared" ref="AB28:AB46" si="32">ROUND((AC28+AD28+AF28),2)</f>
        <v>23.81</v>
      </c>
      <c r="AC28">
        <f t="shared" ref="AC28:AC36" si="33">ROUND((ES28),2)</f>
        <v>16.399999999999999</v>
      </c>
      <c r="AD28">
        <f>ROUND((((ET28)-(EU28))+AE28),2)</f>
        <v>0</v>
      </c>
      <c r="AE28">
        <f t="shared" ref="AE28:AF31" si="34">ROUND((EU28),2)</f>
        <v>0</v>
      </c>
      <c r="AF28">
        <f t="shared" si="34"/>
        <v>7.41</v>
      </c>
      <c r="AG28">
        <f t="shared" ref="AG28:AG46" si="35">ROUND((AP28),2)</f>
        <v>0</v>
      </c>
      <c r="AH28">
        <f t="shared" ref="AH28:AI31" si="36">(EW28)</f>
        <v>1.03</v>
      </c>
      <c r="AI28">
        <f t="shared" si="36"/>
        <v>0</v>
      </c>
      <c r="AJ28">
        <f t="shared" ref="AJ28:AJ46" si="37">(AS28)</f>
        <v>0</v>
      </c>
      <c r="AK28">
        <v>23.81</v>
      </c>
      <c r="AL28">
        <v>16.399999999999999</v>
      </c>
      <c r="AM28">
        <v>0</v>
      </c>
      <c r="AN28">
        <v>0</v>
      </c>
      <c r="AO28">
        <v>7.41</v>
      </c>
      <c r="AP28">
        <v>0</v>
      </c>
      <c r="AQ28">
        <v>1.03</v>
      </c>
      <c r="AR28">
        <v>0</v>
      </c>
      <c r="AS28">
        <v>0</v>
      </c>
      <c r="AT28">
        <v>93</v>
      </c>
      <c r="AU28">
        <v>44</v>
      </c>
      <c r="AV28">
        <v>1</v>
      </c>
      <c r="AW28">
        <v>1</v>
      </c>
      <c r="AZ28">
        <v>1</v>
      </c>
      <c r="BA28">
        <v>1</v>
      </c>
      <c r="BB28">
        <v>1</v>
      </c>
      <c r="BC28">
        <v>1</v>
      </c>
      <c r="BD28" t="s">
        <v>2</v>
      </c>
      <c r="BE28" t="s">
        <v>2</v>
      </c>
      <c r="BF28" t="s">
        <v>2</v>
      </c>
      <c r="BG28" t="s">
        <v>2</v>
      </c>
      <c r="BH28">
        <v>0</v>
      </c>
      <c r="BI28">
        <v>1</v>
      </c>
      <c r="BJ28" t="s">
        <v>19</v>
      </c>
      <c r="BM28">
        <v>69001</v>
      </c>
      <c r="BN28">
        <v>0</v>
      </c>
      <c r="BO28" t="s">
        <v>2</v>
      </c>
      <c r="BP28">
        <v>0</v>
      </c>
      <c r="BQ28">
        <v>6</v>
      </c>
      <c r="BR28">
        <v>0</v>
      </c>
      <c r="BS28">
        <v>1</v>
      </c>
      <c r="BT28">
        <v>1</v>
      </c>
      <c r="BU28">
        <v>1</v>
      </c>
      <c r="BV28">
        <v>1</v>
      </c>
      <c r="BW28">
        <v>1</v>
      </c>
      <c r="BX28">
        <v>1</v>
      </c>
      <c r="BY28" t="s">
        <v>2</v>
      </c>
      <c r="BZ28">
        <v>93</v>
      </c>
      <c r="CA28">
        <v>44</v>
      </c>
      <c r="CE28">
        <v>0</v>
      </c>
      <c r="CF28">
        <v>0</v>
      </c>
      <c r="CG28">
        <v>0</v>
      </c>
      <c r="CM28">
        <v>0</v>
      </c>
      <c r="CN28" t="s">
        <v>2</v>
      </c>
      <c r="CO28">
        <v>0</v>
      </c>
      <c r="CP28">
        <f t="shared" ref="CP28:CP46" si="38">(P28+Q28+S28)</f>
        <v>12</v>
      </c>
      <c r="CQ28">
        <f t="shared" ref="CQ28:CQ46" si="39">AC28*BC28</f>
        <v>16.399999999999999</v>
      </c>
      <c r="CR28">
        <f t="shared" ref="CR28:CR46" si="40">AD28*BB28</f>
        <v>0</v>
      </c>
      <c r="CS28">
        <f t="shared" ref="CS28:CS46" si="41">AE28*BS28</f>
        <v>0</v>
      </c>
      <c r="CT28">
        <f t="shared" ref="CT28:CT46" si="42">AF28*BA28</f>
        <v>7.41</v>
      </c>
      <c r="CU28">
        <f t="shared" ref="CU28:CU46" si="43">AG28</f>
        <v>0</v>
      </c>
      <c r="CV28">
        <f t="shared" ref="CV28:CV46" si="44">AH28</f>
        <v>1.03</v>
      </c>
      <c r="CW28">
        <f t="shared" ref="CW28:CW46" si="45">AI28</f>
        <v>0</v>
      </c>
      <c r="CX28">
        <f t="shared" ref="CX28:CX46" si="46">AJ28</f>
        <v>0</v>
      </c>
      <c r="CY28">
        <f t="shared" ref="CY28:CY46" si="47">(((S28+R28)*AT28)/100)</f>
        <v>3.72</v>
      </c>
      <c r="CZ28">
        <f t="shared" ref="CZ28:CZ46" si="48">(((S28+R28)*AU28)/100)</f>
        <v>1.76</v>
      </c>
      <c r="DC28" t="s">
        <v>2</v>
      </c>
      <c r="DD28" t="s">
        <v>2</v>
      </c>
      <c r="DE28" t="s">
        <v>2</v>
      </c>
      <c r="DF28" t="s">
        <v>2</v>
      </c>
      <c r="DG28" t="s">
        <v>2</v>
      </c>
      <c r="DH28" t="s">
        <v>2</v>
      </c>
      <c r="DI28" t="s">
        <v>2</v>
      </c>
      <c r="DJ28" t="s">
        <v>2</v>
      </c>
      <c r="DK28" t="s">
        <v>2</v>
      </c>
      <c r="DL28" t="s">
        <v>2</v>
      </c>
      <c r="DM28" t="s">
        <v>2</v>
      </c>
      <c r="DN28">
        <v>0</v>
      </c>
      <c r="DO28">
        <v>0</v>
      </c>
      <c r="DP28">
        <v>1</v>
      </c>
      <c r="DQ28">
        <v>1</v>
      </c>
      <c r="DU28">
        <v>1009</v>
      </c>
      <c r="DV28" t="s">
        <v>18</v>
      </c>
      <c r="DW28" t="s">
        <v>18</v>
      </c>
      <c r="DX28">
        <v>1000</v>
      </c>
      <c r="DZ28" t="s">
        <v>2</v>
      </c>
      <c r="EA28" t="s">
        <v>2</v>
      </c>
      <c r="EB28" t="s">
        <v>2</v>
      </c>
      <c r="EC28" t="s">
        <v>2</v>
      </c>
      <c r="EE28">
        <v>222773692</v>
      </c>
      <c r="EF28">
        <v>6</v>
      </c>
      <c r="EG28" t="s">
        <v>20</v>
      </c>
      <c r="EH28">
        <v>103</v>
      </c>
      <c r="EI28" t="s">
        <v>21</v>
      </c>
      <c r="EJ28">
        <v>1</v>
      </c>
      <c r="EK28">
        <v>69001</v>
      </c>
      <c r="EL28" t="s">
        <v>21</v>
      </c>
      <c r="EM28" t="s">
        <v>22</v>
      </c>
      <c r="EN28" t="s">
        <v>2</v>
      </c>
      <c r="EO28" t="s">
        <v>2</v>
      </c>
      <c r="EQ28">
        <v>0</v>
      </c>
      <c r="ER28">
        <v>23.81</v>
      </c>
      <c r="ES28">
        <v>16.399999999999999</v>
      </c>
      <c r="ET28">
        <v>0</v>
      </c>
      <c r="EU28">
        <v>0</v>
      </c>
      <c r="EV28">
        <v>7.41</v>
      </c>
      <c r="EW28">
        <v>1.03</v>
      </c>
      <c r="EX28">
        <v>0</v>
      </c>
      <c r="EY28">
        <v>0</v>
      </c>
      <c r="FQ28">
        <v>0</v>
      </c>
      <c r="FR28">
        <f t="shared" ref="FR28:FR46" si="49">ROUND(IF(AND(BH28=3,BI28=3),P28,0),0)</f>
        <v>0</v>
      </c>
      <c r="FS28">
        <v>0</v>
      </c>
      <c r="FX28">
        <v>93</v>
      </c>
      <c r="FY28">
        <v>44</v>
      </c>
      <c r="GA28" t="s">
        <v>2</v>
      </c>
      <c r="GD28">
        <v>1</v>
      </c>
      <c r="GF28">
        <v>459127888</v>
      </c>
      <c r="GG28">
        <v>2</v>
      </c>
      <c r="GH28">
        <v>1</v>
      </c>
      <c r="GI28">
        <v>-2</v>
      </c>
      <c r="GJ28">
        <v>0</v>
      </c>
      <c r="GK28">
        <v>0</v>
      </c>
      <c r="GL28">
        <f t="shared" ref="GL28:GL46" si="50">ROUND(IF(AND(BH28=3,BI28=3,FS28&lt;&gt;0),P28,0),0)</f>
        <v>0</v>
      </c>
      <c r="GM28">
        <f t="shared" ref="GM28:GM46" si="51">ROUND(O28+X28+Y28,0)+GX28</f>
        <v>18</v>
      </c>
      <c r="GN28">
        <f t="shared" ref="GN28:GN46" si="52">IF(OR(BI28=0,BI28=1),ROUND(O28+X28+Y28,0),0)</f>
        <v>18</v>
      </c>
      <c r="GO28">
        <f t="shared" ref="GO28:GO46" si="53">IF(BI28=2,ROUND(O28+X28+Y28,0),0)</f>
        <v>0</v>
      </c>
      <c r="GP28">
        <f t="shared" ref="GP28:GP46" si="54">IF(BI28=4,ROUND(O28+X28+Y28,0)+GX28,0)</f>
        <v>0</v>
      </c>
      <c r="GR28">
        <v>0</v>
      </c>
      <c r="GS28">
        <v>3</v>
      </c>
      <c r="GT28">
        <v>0</v>
      </c>
      <c r="GU28" t="s">
        <v>2</v>
      </c>
      <c r="GV28">
        <f t="shared" ref="GV28:GV46" si="55">ROUND((GT28),2)</f>
        <v>0</v>
      </c>
      <c r="GW28">
        <v>1</v>
      </c>
      <c r="GX28">
        <f t="shared" ref="GX28:GX46" si="56">ROUND(HC28*I28,0)</f>
        <v>0</v>
      </c>
      <c r="HA28">
        <v>0</v>
      </c>
      <c r="HB28">
        <v>0</v>
      </c>
      <c r="HC28">
        <f t="shared" ref="HC28:HC46" si="57">GV28*GW28</f>
        <v>0</v>
      </c>
      <c r="HE28" t="s">
        <v>2</v>
      </c>
      <c r="HF28" t="s">
        <v>2</v>
      </c>
      <c r="IK28">
        <v>0</v>
      </c>
    </row>
    <row r="29" spans="1:245" x14ac:dyDescent="0.2">
      <c r="A29">
        <v>17</v>
      </c>
      <c r="B29">
        <v>1</v>
      </c>
      <c r="C29">
        <f>ROW(SmtRes!A8)</f>
        <v>8</v>
      </c>
      <c r="D29">
        <f>ROW(EtalonRes!A10)</f>
        <v>10</v>
      </c>
      <c r="E29" t="s">
        <v>23</v>
      </c>
      <c r="F29" t="s">
        <v>24</v>
      </c>
      <c r="G29" t="s">
        <v>25</v>
      </c>
      <c r="H29" t="s">
        <v>26</v>
      </c>
      <c r="I29">
        <f>ROUND(48/100,9)</f>
        <v>0.48</v>
      </c>
      <c r="J29">
        <v>0</v>
      </c>
      <c r="O29">
        <f t="shared" si="21"/>
        <v>181</v>
      </c>
      <c r="P29">
        <f t="shared" si="22"/>
        <v>1</v>
      </c>
      <c r="Q29">
        <f t="shared" si="23"/>
        <v>9</v>
      </c>
      <c r="R29">
        <f t="shared" si="24"/>
        <v>5</v>
      </c>
      <c r="S29">
        <f t="shared" si="25"/>
        <v>171</v>
      </c>
      <c r="T29">
        <f t="shared" si="26"/>
        <v>0</v>
      </c>
      <c r="U29">
        <f t="shared" si="27"/>
        <v>20.1648</v>
      </c>
      <c r="V29">
        <f t="shared" si="28"/>
        <v>0.47519999999999996</v>
      </c>
      <c r="W29">
        <f t="shared" si="29"/>
        <v>0</v>
      </c>
      <c r="X29">
        <f t="shared" si="30"/>
        <v>158</v>
      </c>
      <c r="Y29">
        <f t="shared" si="31"/>
        <v>77</v>
      </c>
      <c r="AA29">
        <v>224527337</v>
      </c>
      <c r="AB29">
        <f t="shared" si="32"/>
        <v>374.69</v>
      </c>
      <c r="AC29">
        <f t="shared" si="33"/>
        <v>1.32</v>
      </c>
      <c r="AD29">
        <f>ROUND((((ET29)-(EU29))+AE29),2)</f>
        <v>17.97</v>
      </c>
      <c r="AE29">
        <f t="shared" si="34"/>
        <v>10.72</v>
      </c>
      <c r="AF29">
        <f t="shared" si="34"/>
        <v>355.4</v>
      </c>
      <c r="AG29">
        <f t="shared" si="35"/>
        <v>0</v>
      </c>
      <c r="AH29">
        <f t="shared" si="36"/>
        <v>42.01</v>
      </c>
      <c r="AI29">
        <f t="shared" si="36"/>
        <v>0.99</v>
      </c>
      <c r="AJ29">
        <f t="shared" si="37"/>
        <v>0</v>
      </c>
      <c r="AK29">
        <v>374.69</v>
      </c>
      <c r="AL29">
        <v>1.32</v>
      </c>
      <c r="AM29">
        <v>17.97</v>
      </c>
      <c r="AN29">
        <v>10.72</v>
      </c>
      <c r="AO29">
        <v>355.4</v>
      </c>
      <c r="AP29">
        <v>0</v>
      </c>
      <c r="AQ29">
        <v>42.01</v>
      </c>
      <c r="AR29">
        <v>0.99</v>
      </c>
      <c r="AS29">
        <v>0</v>
      </c>
      <c r="AT29">
        <v>90</v>
      </c>
      <c r="AU29">
        <v>44</v>
      </c>
      <c r="AV29">
        <v>1</v>
      </c>
      <c r="AW29">
        <v>1</v>
      </c>
      <c r="AZ29">
        <v>1</v>
      </c>
      <c r="BA29">
        <v>1</v>
      </c>
      <c r="BB29">
        <v>1</v>
      </c>
      <c r="BC29">
        <v>1</v>
      </c>
      <c r="BD29" t="s">
        <v>2</v>
      </c>
      <c r="BE29" t="s">
        <v>2</v>
      </c>
      <c r="BF29" t="s">
        <v>2</v>
      </c>
      <c r="BG29" t="s">
        <v>2</v>
      </c>
      <c r="BH29">
        <v>0</v>
      </c>
      <c r="BI29">
        <v>1</v>
      </c>
      <c r="BJ29" t="s">
        <v>27</v>
      </c>
      <c r="BM29">
        <v>61001</v>
      </c>
      <c r="BN29">
        <v>0</v>
      </c>
      <c r="BO29" t="s">
        <v>2</v>
      </c>
      <c r="BP29">
        <v>0</v>
      </c>
      <c r="BQ29">
        <v>6</v>
      </c>
      <c r="BR29">
        <v>0</v>
      </c>
      <c r="BS29">
        <v>1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2</v>
      </c>
      <c r="BZ29">
        <v>90</v>
      </c>
      <c r="CA29">
        <v>44</v>
      </c>
      <c r="CE29">
        <v>0</v>
      </c>
      <c r="CF29">
        <v>0</v>
      </c>
      <c r="CG29">
        <v>0</v>
      </c>
      <c r="CM29">
        <v>0</v>
      </c>
      <c r="CN29" t="s">
        <v>2</v>
      </c>
      <c r="CO29">
        <v>0</v>
      </c>
      <c r="CP29">
        <f t="shared" si="38"/>
        <v>181</v>
      </c>
      <c r="CQ29">
        <f t="shared" si="39"/>
        <v>1.32</v>
      </c>
      <c r="CR29">
        <f t="shared" si="40"/>
        <v>17.97</v>
      </c>
      <c r="CS29">
        <f t="shared" si="41"/>
        <v>10.72</v>
      </c>
      <c r="CT29">
        <f t="shared" si="42"/>
        <v>355.4</v>
      </c>
      <c r="CU29">
        <f t="shared" si="43"/>
        <v>0</v>
      </c>
      <c r="CV29">
        <f t="shared" si="44"/>
        <v>42.01</v>
      </c>
      <c r="CW29">
        <f t="shared" si="45"/>
        <v>0.99</v>
      </c>
      <c r="CX29">
        <f t="shared" si="46"/>
        <v>0</v>
      </c>
      <c r="CY29">
        <f t="shared" si="47"/>
        <v>158.4</v>
      </c>
      <c r="CZ29">
        <f t="shared" si="48"/>
        <v>77.44</v>
      </c>
      <c r="DC29" t="s">
        <v>2</v>
      </c>
      <c r="DD29" t="s">
        <v>2</v>
      </c>
      <c r="DE29" t="s">
        <v>2</v>
      </c>
      <c r="DF29" t="s">
        <v>2</v>
      </c>
      <c r="DG29" t="s">
        <v>2</v>
      </c>
      <c r="DH29" t="s">
        <v>2</v>
      </c>
      <c r="DI29" t="s">
        <v>2</v>
      </c>
      <c r="DJ29" t="s">
        <v>2</v>
      </c>
      <c r="DK29" t="s">
        <v>2</v>
      </c>
      <c r="DL29" t="s">
        <v>2</v>
      </c>
      <c r="DM29" t="s">
        <v>2</v>
      </c>
      <c r="DN29">
        <v>0</v>
      </c>
      <c r="DO29">
        <v>0</v>
      </c>
      <c r="DP29">
        <v>1</v>
      </c>
      <c r="DQ29">
        <v>1</v>
      </c>
      <c r="DU29">
        <v>1005</v>
      </c>
      <c r="DV29" t="s">
        <v>26</v>
      </c>
      <c r="DW29" t="s">
        <v>26</v>
      </c>
      <c r="DX29">
        <v>100</v>
      </c>
      <c r="DZ29" t="s">
        <v>2</v>
      </c>
      <c r="EA29" t="s">
        <v>2</v>
      </c>
      <c r="EB29" t="s">
        <v>2</v>
      </c>
      <c r="EC29" t="s">
        <v>2</v>
      </c>
      <c r="EE29">
        <v>222773648</v>
      </c>
      <c r="EF29">
        <v>6</v>
      </c>
      <c r="EG29" t="s">
        <v>20</v>
      </c>
      <c r="EH29">
        <v>95</v>
      </c>
      <c r="EI29" t="s">
        <v>28</v>
      </c>
      <c r="EJ29">
        <v>1</v>
      </c>
      <c r="EK29">
        <v>61001</v>
      </c>
      <c r="EL29" t="s">
        <v>28</v>
      </c>
      <c r="EM29" t="s">
        <v>29</v>
      </c>
      <c r="EN29" t="s">
        <v>2</v>
      </c>
      <c r="EO29" t="s">
        <v>2</v>
      </c>
      <c r="EQ29">
        <v>0</v>
      </c>
      <c r="ER29">
        <v>374.69</v>
      </c>
      <c r="ES29">
        <v>1.32</v>
      </c>
      <c r="ET29">
        <v>17.97</v>
      </c>
      <c r="EU29">
        <v>10.72</v>
      </c>
      <c r="EV29">
        <v>355.4</v>
      </c>
      <c r="EW29">
        <v>42.01</v>
      </c>
      <c r="EX29">
        <v>0.99</v>
      </c>
      <c r="EY29">
        <v>0</v>
      </c>
      <c r="FQ29">
        <v>0</v>
      </c>
      <c r="FR29">
        <f t="shared" si="49"/>
        <v>0</v>
      </c>
      <c r="FS29">
        <v>0</v>
      </c>
      <c r="FX29">
        <v>90</v>
      </c>
      <c r="FY29">
        <v>44</v>
      </c>
      <c r="GA29" t="s">
        <v>2</v>
      </c>
      <c r="GD29">
        <v>1</v>
      </c>
      <c r="GF29">
        <v>-1155254250</v>
      </c>
      <c r="GG29">
        <v>2</v>
      </c>
      <c r="GH29">
        <v>1</v>
      </c>
      <c r="GI29">
        <v>-2</v>
      </c>
      <c r="GJ29">
        <v>0</v>
      </c>
      <c r="GK29">
        <v>0</v>
      </c>
      <c r="GL29">
        <f t="shared" si="50"/>
        <v>0</v>
      </c>
      <c r="GM29">
        <f t="shared" si="51"/>
        <v>416</v>
      </c>
      <c r="GN29">
        <f t="shared" si="52"/>
        <v>416</v>
      </c>
      <c r="GO29">
        <f t="shared" si="53"/>
        <v>0</v>
      </c>
      <c r="GP29">
        <f t="shared" si="54"/>
        <v>0</v>
      </c>
      <c r="GR29">
        <v>0</v>
      </c>
      <c r="GS29">
        <v>3</v>
      </c>
      <c r="GT29">
        <v>0</v>
      </c>
      <c r="GU29" t="s">
        <v>2</v>
      </c>
      <c r="GV29">
        <f t="shared" si="55"/>
        <v>0</v>
      </c>
      <c r="GW29">
        <v>1</v>
      </c>
      <c r="GX29">
        <f t="shared" si="56"/>
        <v>0</v>
      </c>
      <c r="HA29">
        <v>0</v>
      </c>
      <c r="HB29">
        <v>0</v>
      </c>
      <c r="HC29">
        <f t="shared" si="57"/>
        <v>0</v>
      </c>
      <c r="HE29" t="s">
        <v>2</v>
      </c>
      <c r="HF29" t="s">
        <v>2</v>
      </c>
      <c r="IK29">
        <v>0</v>
      </c>
    </row>
    <row r="30" spans="1:245" x14ac:dyDescent="0.2">
      <c r="A30">
        <v>17</v>
      </c>
      <c r="B30">
        <v>1</v>
      </c>
      <c r="E30" t="s">
        <v>30</v>
      </c>
      <c r="F30" t="s">
        <v>31</v>
      </c>
      <c r="G30" t="s">
        <v>32</v>
      </c>
      <c r="H30" t="s">
        <v>33</v>
      </c>
      <c r="I30">
        <f>ROUND(48*0.907,9)</f>
        <v>43.536000000000001</v>
      </c>
      <c r="J30">
        <v>0</v>
      </c>
      <c r="O30">
        <f t="shared" si="21"/>
        <v>75</v>
      </c>
      <c r="P30">
        <f t="shared" si="22"/>
        <v>75</v>
      </c>
      <c r="Q30">
        <f t="shared" si="23"/>
        <v>0</v>
      </c>
      <c r="R30">
        <f t="shared" si="24"/>
        <v>0</v>
      </c>
      <c r="S30">
        <f t="shared" si="25"/>
        <v>0</v>
      </c>
      <c r="T30">
        <f t="shared" si="26"/>
        <v>0</v>
      </c>
      <c r="U30">
        <f t="shared" si="27"/>
        <v>0</v>
      </c>
      <c r="V30">
        <f t="shared" si="28"/>
        <v>0</v>
      </c>
      <c r="W30">
        <f t="shared" si="29"/>
        <v>0</v>
      </c>
      <c r="X30">
        <f t="shared" si="30"/>
        <v>0</v>
      </c>
      <c r="Y30">
        <f t="shared" si="31"/>
        <v>0</v>
      </c>
      <c r="AA30">
        <v>224527337</v>
      </c>
      <c r="AB30">
        <f t="shared" si="32"/>
        <v>1.72</v>
      </c>
      <c r="AC30">
        <f t="shared" si="33"/>
        <v>1.72</v>
      </c>
      <c r="AD30">
        <f>ROUND((((ET30)-(EU30))+AE30),2)</f>
        <v>0</v>
      </c>
      <c r="AE30">
        <f t="shared" si="34"/>
        <v>0</v>
      </c>
      <c r="AF30">
        <f t="shared" si="34"/>
        <v>0</v>
      </c>
      <c r="AG30">
        <f t="shared" si="35"/>
        <v>0</v>
      </c>
      <c r="AH30">
        <f t="shared" si="36"/>
        <v>0</v>
      </c>
      <c r="AI30">
        <f t="shared" si="36"/>
        <v>0</v>
      </c>
      <c r="AJ30">
        <f t="shared" si="37"/>
        <v>0</v>
      </c>
      <c r="AK30">
        <v>1.72</v>
      </c>
      <c r="AL30">
        <v>1.72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1</v>
      </c>
      <c r="AW30">
        <v>1</v>
      </c>
      <c r="AZ30">
        <v>1</v>
      </c>
      <c r="BA30">
        <v>1</v>
      </c>
      <c r="BB30">
        <v>1</v>
      </c>
      <c r="BC30">
        <v>1</v>
      </c>
      <c r="BD30" t="s">
        <v>2</v>
      </c>
      <c r="BE30" t="s">
        <v>2</v>
      </c>
      <c r="BF30" t="s">
        <v>2</v>
      </c>
      <c r="BG30" t="s">
        <v>2</v>
      </c>
      <c r="BH30">
        <v>3</v>
      </c>
      <c r="BI30">
        <v>1</v>
      </c>
      <c r="BJ30" t="s">
        <v>34</v>
      </c>
      <c r="BM30">
        <v>500001</v>
      </c>
      <c r="BN30">
        <v>0</v>
      </c>
      <c r="BO30" t="s">
        <v>2</v>
      </c>
      <c r="BP30">
        <v>0</v>
      </c>
      <c r="BQ30">
        <v>8</v>
      </c>
      <c r="BR30">
        <v>0</v>
      </c>
      <c r="BS30">
        <v>1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2</v>
      </c>
      <c r="BZ30">
        <v>0</v>
      </c>
      <c r="CA30">
        <v>0</v>
      </c>
      <c r="CE30">
        <v>0</v>
      </c>
      <c r="CF30">
        <v>0</v>
      </c>
      <c r="CG30">
        <v>0</v>
      </c>
      <c r="CM30">
        <v>0</v>
      </c>
      <c r="CN30" t="s">
        <v>2</v>
      </c>
      <c r="CO30">
        <v>0</v>
      </c>
      <c r="CP30">
        <f t="shared" si="38"/>
        <v>75</v>
      </c>
      <c r="CQ30">
        <f t="shared" si="39"/>
        <v>1.72</v>
      </c>
      <c r="CR30">
        <f t="shared" si="40"/>
        <v>0</v>
      </c>
      <c r="CS30">
        <f t="shared" si="41"/>
        <v>0</v>
      </c>
      <c r="CT30">
        <f t="shared" si="42"/>
        <v>0</v>
      </c>
      <c r="CU30">
        <f t="shared" si="43"/>
        <v>0</v>
      </c>
      <c r="CV30">
        <f t="shared" si="44"/>
        <v>0</v>
      </c>
      <c r="CW30">
        <f t="shared" si="45"/>
        <v>0</v>
      </c>
      <c r="CX30">
        <f t="shared" si="46"/>
        <v>0</v>
      </c>
      <c r="CY30">
        <f t="shared" si="47"/>
        <v>0</v>
      </c>
      <c r="CZ30">
        <f t="shared" si="48"/>
        <v>0</v>
      </c>
      <c r="DC30" t="s">
        <v>2</v>
      </c>
      <c r="DD30" t="s">
        <v>2</v>
      </c>
      <c r="DE30" t="s">
        <v>2</v>
      </c>
      <c r="DF30" t="s">
        <v>2</v>
      </c>
      <c r="DG30" t="s">
        <v>2</v>
      </c>
      <c r="DH30" t="s">
        <v>2</v>
      </c>
      <c r="DI30" t="s">
        <v>2</v>
      </c>
      <c r="DJ30" t="s">
        <v>2</v>
      </c>
      <c r="DK30" t="s">
        <v>2</v>
      </c>
      <c r="DL30" t="s">
        <v>2</v>
      </c>
      <c r="DM30" t="s">
        <v>2</v>
      </c>
      <c r="DN30">
        <v>0</v>
      </c>
      <c r="DO30">
        <v>0</v>
      </c>
      <c r="DP30">
        <v>1</v>
      </c>
      <c r="DQ30">
        <v>1</v>
      </c>
      <c r="DU30">
        <v>1009</v>
      </c>
      <c r="DV30" t="s">
        <v>33</v>
      </c>
      <c r="DW30" t="s">
        <v>33</v>
      </c>
      <c r="DX30">
        <v>1</v>
      </c>
      <c r="DZ30" t="s">
        <v>2</v>
      </c>
      <c r="EA30" t="s">
        <v>2</v>
      </c>
      <c r="EB30" t="s">
        <v>2</v>
      </c>
      <c r="EC30" t="s">
        <v>2</v>
      </c>
      <c r="EE30">
        <v>222773498</v>
      </c>
      <c r="EF30">
        <v>8</v>
      </c>
      <c r="EG30" t="s">
        <v>35</v>
      </c>
      <c r="EH30">
        <v>0</v>
      </c>
      <c r="EI30" t="s">
        <v>2</v>
      </c>
      <c r="EJ30">
        <v>1</v>
      </c>
      <c r="EK30">
        <v>500001</v>
      </c>
      <c r="EL30" t="s">
        <v>36</v>
      </c>
      <c r="EM30" t="s">
        <v>37</v>
      </c>
      <c r="EN30" t="s">
        <v>2</v>
      </c>
      <c r="EO30" t="s">
        <v>2</v>
      </c>
      <c r="EQ30">
        <v>0</v>
      </c>
      <c r="ER30">
        <v>1.72</v>
      </c>
      <c r="ES30">
        <v>1.72</v>
      </c>
      <c r="ET30">
        <v>0</v>
      </c>
      <c r="EU30">
        <v>0</v>
      </c>
      <c r="EV30">
        <v>0</v>
      </c>
      <c r="EW30">
        <v>0</v>
      </c>
      <c r="EX30">
        <v>0</v>
      </c>
      <c r="EY30">
        <v>0</v>
      </c>
      <c r="FQ30">
        <v>0</v>
      </c>
      <c r="FR30">
        <f t="shared" si="49"/>
        <v>0</v>
      </c>
      <c r="FS30">
        <v>0</v>
      </c>
      <c r="FX30">
        <v>0</v>
      </c>
      <c r="FY30">
        <v>0</v>
      </c>
      <c r="GA30" t="s">
        <v>2</v>
      </c>
      <c r="GD30">
        <v>1</v>
      </c>
      <c r="GF30">
        <v>-170393111</v>
      </c>
      <c r="GG30">
        <v>2</v>
      </c>
      <c r="GH30">
        <v>1</v>
      </c>
      <c r="GI30">
        <v>-2</v>
      </c>
      <c r="GJ30">
        <v>0</v>
      </c>
      <c r="GK30">
        <v>0</v>
      </c>
      <c r="GL30">
        <f t="shared" si="50"/>
        <v>0</v>
      </c>
      <c r="GM30">
        <f t="shared" si="51"/>
        <v>75</v>
      </c>
      <c r="GN30">
        <f t="shared" si="52"/>
        <v>75</v>
      </c>
      <c r="GO30">
        <f t="shared" si="53"/>
        <v>0</v>
      </c>
      <c r="GP30">
        <f t="shared" si="54"/>
        <v>0</v>
      </c>
      <c r="GR30">
        <v>0</v>
      </c>
      <c r="GS30">
        <v>3</v>
      </c>
      <c r="GT30">
        <v>0</v>
      </c>
      <c r="GU30" t="s">
        <v>2</v>
      </c>
      <c r="GV30">
        <f t="shared" si="55"/>
        <v>0</v>
      </c>
      <c r="GW30">
        <v>1</v>
      </c>
      <c r="GX30">
        <f t="shared" si="56"/>
        <v>0</v>
      </c>
      <c r="HA30">
        <v>0</v>
      </c>
      <c r="HB30">
        <v>0</v>
      </c>
      <c r="HC30">
        <f t="shared" si="57"/>
        <v>0</v>
      </c>
      <c r="HE30" t="s">
        <v>2</v>
      </c>
      <c r="HF30" t="s">
        <v>2</v>
      </c>
      <c r="IK30">
        <v>0</v>
      </c>
    </row>
    <row r="31" spans="1:245" x14ac:dyDescent="0.2">
      <c r="A31">
        <v>17</v>
      </c>
      <c r="B31">
        <v>1</v>
      </c>
      <c r="E31" t="s">
        <v>38</v>
      </c>
      <c r="F31" t="s">
        <v>39</v>
      </c>
      <c r="G31" t="s">
        <v>40</v>
      </c>
      <c r="H31" t="s">
        <v>18</v>
      </c>
      <c r="I31">
        <f>ROUND(0.48*0.13/1000,9)</f>
        <v>6.2399999999999999E-5</v>
      </c>
      <c r="J31">
        <v>0</v>
      </c>
      <c r="O31">
        <f t="shared" si="21"/>
        <v>1</v>
      </c>
      <c r="P31">
        <f t="shared" si="22"/>
        <v>1</v>
      </c>
      <c r="Q31">
        <f t="shared" si="23"/>
        <v>0</v>
      </c>
      <c r="R31">
        <f t="shared" si="24"/>
        <v>0</v>
      </c>
      <c r="S31">
        <f t="shared" si="25"/>
        <v>0</v>
      </c>
      <c r="T31">
        <f t="shared" si="26"/>
        <v>0</v>
      </c>
      <c r="U31">
        <f t="shared" si="27"/>
        <v>0</v>
      </c>
      <c r="V31">
        <f t="shared" si="28"/>
        <v>0</v>
      </c>
      <c r="W31">
        <f t="shared" si="29"/>
        <v>0</v>
      </c>
      <c r="X31">
        <f t="shared" si="30"/>
        <v>0</v>
      </c>
      <c r="Y31">
        <f t="shared" si="31"/>
        <v>0</v>
      </c>
      <c r="AA31">
        <v>224527337</v>
      </c>
      <c r="AB31">
        <f t="shared" si="32"/>
        <v>11594.98</v>
      </c>
      <c r="AC31">
        <f t="shared" si="33"/>
        <v>11594.98</v>
      </c>
      <c r="AD31">
        <f>ROUND((((ET31)-(EU31))+AE31),2)</f>
        <v>0</v>
      </c>
      <c r="AE31">
        <f t="shared" si="34"/>
        <v>0</v>
      </c>
      <c r="AF31">
        <f t="shared" si="34"/>
        <v>0</v>
      </c>
      <c r="AG31">
        <f t="shared" si="35"/>
        <v>0</v>
      </c>
      <c r="AH31">
        <f t="shared" si="36"/>
        <v>0</v>
      </c>
      <c r="AI31">
        <f t="shared" si="36"/>
        <v>0</v>
      </c>
      <c r="AJ31">
        <f t="shared" si="37"/>
        <v>0</v>
      </c>
      <c r="AK31">
        <v>11594.98</v>
      </c>
      <c r="AL31">
        <v>11594.98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1</v>
      </c>
      <c r="AW31">
        <v>1</v>
      </c>
      <c r="AZ31">
        <v>1</v>
      </c>
      <c r="BA31">
        <v>1</v>
      </c>
      <c r="BB31">
        <v>1</v>
      </c>
      <c r="BC31">
        <v>1</v>
      </c>
      <c r="BD31" t="s">
        <v>2</v>
      </c>
      <c r="BE31" t="s">
        <v>2</v>
      </c>
      <c r="BF31" t="s">
        <v>2</v>
      </c>
      <c r="BG31" t="s">
        <v>2</v>
      </c>
      <c r="BH31">
        <v>3</v>
      </c>
      <c r="BI31">
        <v>1</v>
      </c>
      <c r="BJ31" t="s">
        <v>41</v>
      </c>
      <c r="BM31">
        <v>500001</v>
      </c>
      <c r="BN31">
        <v>0</v>
      </c>
      <c r="BO31" t="s">
        <v>2</v>
      </c>
      <c r="BP31">
        <v>0</v>
      </c>
      <c r="BQ31">
        <v>8</v>
      </c>
      <c r="BR31">
        <v>0</v>
      </c>
      <c r="BS31">
        <v>1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2</v>
      </c>
      <c r="BZ31">
        <v>0</v>
      </c>
      <c r="CA31">
        <v>0</v>
      </c>
      <c r="CE31">
        <v>0</v>
      </c>
      <c r="CF31">
        <v>0</v>
      </c>
      <c r="CG31">
        <v>0</v>
      </c>
      <c r="CM31">
        <v>0</v>
      </c>
      <c r="CN31" t="s">
        <v>2</v>
      </c>
      <c r="CO31">
        <v>0</v>
      </c>
      <c r="CP31">
        <f t="shared" si="38"/>
        <v>1</v>
      </c>
      <c r="CQ31">
        <f t="shared" si="39"/>
        <v>11594.98</v>
      </c>
      <c r="CR31">
        <f t="shared" si="40"/>
        <v>0</v>
      </c>
      <c r="CS31">
        <f t="shared" si="41"/>
        <v>0</v>
      </c>
      <c r="CT31">
        <f t="shared" si="42"/>
        <v>0</v>
      </c>
      <c r="CU31">
        <f t="shared" si="43"/>
        <v>0</v>
      </c>
      <c r="CV31">
        <f t="shared" si="44"/>
        <v>0</v>
      </c>
      <c r="CW31">
        <f t="shared" si="45"/>
        <v>0</v>
      </c>
      <c r="CX31">
        <f t="shared" si="46"/>
        <v>0</v>
      </c>
      <c r="CY31">
        <f t="shared" si="47"/>
        <v>0</v>
      </c>
      <c r="CZ31">
        <f t="shared" si="48"/>
        <v>0</v>
      </c>
      <c r="DC31" t="s">
        <v>2</v>
      </c>
      <c r="DD31" t="s">
        <v>2</v>
      </c>
      <c r="DE31" t="s">
        <v>2</v>
      </c>
      <c r="DF31" t="s">
        <v>2</v>
      </c>
      <c r="DG31" t="s">
        <v>2</v>
      </c>
      <c r="DH31" t="s">
        <v>2</v>
      </c>
      <c r="DI31" t="s">
        <v>2</v>
      </c>
      <c r="DJ31" t="s">
        <v>2</v>
      </c>
      <c r="DK31" t="s">
        <v>2</v>
      </c>
      <c r="DL31" t="s">
        <v>2</v>
      </c>
      <c r="DM31" t="s">
        <v>2</v>
      </c>
      <c r="DN31">
        <v>0</v>
      </c>
      <c r="DO31">
        <v>0</v>
      </c>
      <c r="DP31">
        <v>1</v>
      </c>
      <c r="DQ31">
        <v>1</v>
      </c>
      <c r="DU31">
        <v>1009</v>
      </c>
      <c r="DV31" t="s">
        <v>18</v>
      </c>
      <c r="DW31" t="s">
        <v>18</v>
      </c>
      <c r="DX31">
        <v>1000</v>
      </c>
      <c r="DZ31" t="s">
        <v>2</v>
      </c>
      <c r="EA31" t="s">
        <v>2</v>
      </c>
      <c r="EB31" t="s">
        <v>2</v>
      </c>
      <c r="EC31" t="s">
        <v>2</v>
      </c>
      <c r="EE31">
        <v>222773498</v>
      </c>
      <c r="EF31">
        <v>8</v>
      </c>
      <c r="EG31" t="s">
        <v>35</v>
      </c>
      <c r="EH31">
        <v>0</v>
      </c>
      <c r="EI31" t="s">
        <v>2</v>
      </c>
      <c r="EJ31">
        <v>1</v>
      </c>
      <c r="EK31">
        <v>500001</v>
      </c>
      <c r="EL31" t="s">
        <v>36</v>
      </c>
      <c r="EM31" t="s">
        <v>37</v>
      </c>
      <c r="EN31" t="s">
        <v>2</v>
      </c>
      <c r="EO31" t="s">
        <v>2</v>
      </c>
      <c r="EQ31">
        <v>0</v>
      </c>
      <c r="ER31">
        <v>11594.98</v>
      </c>
      <c r="ES31">
        <v>11594.98</v>
      </c>
      <c r="ET31">
        <v>0</v>
      </c>
      <c r="EU31">
        <v>0</v>
      </c>
      <c r="EV31">
        <v>0</v>
      </c>
      <c r="EW31">
        <v>0</v>
      </c>
      <c r="EX31">
        <v>0</v>
      </c>
      <c r="EY31">
        <v>0</v>
      </c>
      <c r="FQ31">
        <v>0</v>
      </c>
      <c r="FR31">
        <f t="shared" si="49"/>
        <v>0</v>
      </c>
      <c r="FS31">
        <v>0</v>
      </c>
      <c r="FX31">
        <v>0</v>
      </c>
      <c r="FY31">
        <v>0</v>
      </c>
      <c r="GA31" t="s">
        <v>2</v>
      </c>
      <c r="GD31">
        <v>1</v>
      </c>
      <c r="GF31">
        <v>-836788675</v>
      </c>
      <c r="GG31">
        <v>2</v>
      </c>
      <c r="GH31">
        <v>1</v>
      </c>
      <c r="GI31">
        <v>-2</v>
      </c>
      <c r="GJ31">
        <v>0</v>
      </c>
      <c r="GK31">
        <v>0</v>
      </c>
      <c r="GL31">
        <f t="shared" si="50"/>
        <v>0</v>
      </c>
      <c r="GM31">
        <f t="shared" si="51"/>
        <v>1</v>
      </c>
      <c r="GN31">
        <f t="shared" si="52"/>
        <v>1</v>
      </c>
      <c r="GO31">
        <f t="shared" si="53"/>
        <v>0</v>
      </c>
      <c r="GP31">
        <f t="shared" si="54"/>
        <v>0</v>
      </c>
      <c r="GR31">
        <v>0</v>
      </c>
      <c r="GS31">
        <v>3</v>
      </c>
      <c r="GT31">
        <v>0</v>
      </c>
      <c r="GU31" t="s">
        <v>2</v>
      </c>
      <c r="GV31">
        <f t="shared" si="55"/>
        <v>0</v>
      </c>
      <c r="GW31">
        <v>1</v>
      </c>
      <c r="GX31">
        <f t="shared" si="56"/>
        <v>0</v>
      </c>
      <c r="HA31">
        <v>0</v>
      </c>
      <c r="HB31">
        <v>0</v>
      </c>
      <c r="HC31">
        <f t="shared" si="57"/>
        <v>0</v>
      </c>
      <c r="HE31" t="s">
        <v>2</v>
      </c>
      <c r="HF31" t="s">
        <v>2</v>
      </c>
      <c r="IK31">
        <v>0</v>
      </c>
    </row>
    <row r="32" spans="1:245" x14ac:dyDescent="0.2">
      <c r="A32">
        <v>17</v>
      </c>
      <c r="B32">
        <v>1</v>
      </c>
      <c r="C32">
        <f>ROW(SmtRes!A15)</f>
        <v>15</v>
      </c>
      <c r="D32">
        <f>ROW(EtalonRes!A18)</f>
        <v>18</v>
      </c>
      <c r="E32" t="s">
        <v>42</v>
      </c>
      <c r="F32" t="s">
        <v>43</v>
      </c>
      <c r="G32" t="s">
        <v>44</v>
      </c>
      <c r="H32" t="s">
        <v>26</v>
      </c>
      <c r="I32">
        <f>ROUND(48/100,9)</f>
        <v>0.48</v>
      </c>
      <c r="J32">
        <v>0</v>
      </c>
      <c r="O32">
        <f t="shared" si="21"/>
        <v>163</v>
      </c>
      <c r="P32">
        <f t="shared" si="22"/>
        <v>40</v>
      </c>
      <c r="Q32">
        <f t="shared" si="23"/>
        <v>4</v>
      </c>
      <c r="R32">
        <f t="shared" si="24"/>
        <v>1</v>
      </c>
      <c r="S32">
        <f t="shared" si="25"/>
        <v>119</v>
      </c>
      <c r="T32">
        <f t="shared" si="26"/>
        <v>0</v>
      </c>
      <c r="U32">
        <f t="shared" si="27"/>
        <v>13.3056</v>
      </c>
      <c r="V32">
        <f t="shared" si="28"/>
        <v>6.336E-2</v>
      </c>
      <c r="W32">
        <f t="shared" si="29"/>
        <v>0</v>
      </c>
      <c r="X32">
        <f t="shared" si="30"/>
        <v>121</v>
      </c>
      <c r="Y32">
        <f t="shared" si="31"/>
        <v>59</v>
      </c>
      <c r="AA32">
        <v>224527337</v>
      </c>
      <c r="AB32">
        <f t="shared" si="32"/>
        <v>339.69</v>
      </c>
      <c r="AC32">
        <f t="shared" si="33"/>
        <v>82.78</v>
      </c>
      <c r="AD32">
        <f>ROUND(((((ET32*1.2))-((EU32*1.2)))+AE32),2)</f>
        <v>8.26</v>
      </c>
      <c r="AE32">
        <f>ROUND(((EU32*1.2)),2)</f>
        <v>1.56</v>
      </c>
      <c r="AF32">
        <f>ROUND(((EV32*1.2)),2)</f>
        <v>248.65</v>
      </c>
      <c r="AG32">
        <f t="shared" si="35"/>
        <v>0</v>
      </c>
      <c r="AH32">
        <f>((EW32*1.2))</f>
        <v>27.720000000000002</v>
      </c>
      <c r="AI32">
        <f>((EX32*1.2))</f>
        <v>0.13200000000000001</v>
      </c>
      <c r="AJ32">
        <f t="shared" si="37"/>
        <v>0</v>
      </c>
      <c r="AK32">
        <v>296.87</v>
      </c>
      <c r="AL32">
        <v>82.78</v>
      </c>
      <c r="AM32">
        <v>6.88</v>
      </c>
      <c r="AN32">
        <v>1.3</v>
      </c>
      <c r="AO32">
        <v>207.21</v>
      </c>
      <c r="AP32">
        <v>0</v>
      </c>
      <c r="AQ32">
        <v>23.1</v>
      </c>
      <c r="AR32">
        <v>0.11</v>
      </c>
      <c r="AS32">
        <v>0</v>
      </c>
      <c r="AT32">
        <v>101</v>
      </c>
      <c r="AU32">
        <v>49</v>
      </c>
      <c r="AV32">
        <v>1</v>
      </c>
      <c r="AW32">
        <v>1</v>
      </c>
      <c r="AZ32">
        <v>1</v>
      </c>
      <c r="BA32">
        <v>1</v>
      </c>
      <c r="BB32">
        <v>1</v>
      </c>
      <c r="BC32">
        <v>1</v>
      </c>
      <c r="BD32" t="s">
        <v>2</v>
      </c>
      <c r="BE32" t="s">
        <v>2</v>
      </c>
      <c r="BF32" t="s">
        <v>2</v>
      </c>
      <c r="BG32" t="s">
        <v>2</v>
      </c>
      <c r="BH32">
        <v>0</v>
      </c>
      <c r="BI32">
        <v>1</v>
      </c>
      <c r="BJ32" t="s">
        <v>45</v>
      </c>
      <c r="BM32">
        <v>15001</v>
      </c>
      <c r="BN32">
        <v>0</v>
      </c>
      <c r="BO32" t="s">
        <v>2</v>
      </c>
      <c r="BP32">
        <v>0</v>
      </c>
      <c r="BQ32">
        <v>2</v>
      </c>
      <c r="BR32">
        <v>0</v>
      </c>
      <c r="BS32">
        <v>1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2</v>
      </c>
      <c r="BZ32">
        <v>101</v>
      </c>
      <c r="CA32">
        <v>49</v>
      </c>
      <c r="CE32">
        <v>0</v>
      </c>
      <c r="CF32">
        <v>0</v>
      </c>
      <c r="CG32">
        <v>0</v>
      </c>
      <c r="CM32">
        <v>0</v>
      </c>
      <c r="CN32" t="s">
        <v>796</v>
      </c>
      <c r="CO32">
        <v>0</v>
      </c>
      <c r="CP32">
        <f t="shared" si="38"/>
        <v>163</v>
      </c>
      <c r="CQ32">
        <f t="shared" si="39"/>
        <v>82.78</v>
      </c>
      <c r="CR32">
        <f t="shared" si="40"/>
        <v>8.26</v>
      </c>
      <c r="CS32">
        <f t="shared" si="41"/>
        <v>1.56</v>
      </c>
      <c r="CT32">
        <f t="shared" si="42"/>
        <v>248.65</v>
      </c>
      <c r="CU32">
        <f t="shared" si="43"/>
        <v>0</v>
      </c>
      <c r="CV32">
        <f t="shared" si="44"/>
        <v>27.720000000000002</v>
      </c>
      <c r="CW32">
        <f t="shared" si="45"/>
        <v>0.13200000000000001</v>
      </c>
      <c r="CX32">
        <f t="shared" si="46"/>
        <v>0</v>
      </c>
      <c r="CY32">
        <f t="shared" si="47"/>
        <v>121.2</v>
      </c>
      <c r="CZ32">
        <f t="shared" si="48"/>
        <v>58.8</v>
      </c>
      <c r="DC32" t="s">
        <v>2</v>
      </c>
      <c r="DD32" t="s">
        <v>2</v>
      </c>
      <c r="DE32" t="s">
        <v>46</v>
      </c>
      <c r="DF32" t="s">
        <v>46</v>
      </c>
      <c r="DG32" t="s">
        <v>46</v>
      </c>
      <c r="DH32" t="s">
        <v>2</v>
      </c>
      <c r="DI32" t="s">
        <v>46</v>
      </c>
      <c r="DJ32" t="s">
        <v>46</v>
      </c>
      <c r="DK32" t="s">
        <v>2</v>
      </c>
      <c r="DL32" t="s">
        <v>2</v>
      </c>
      <c r="DM32" t="s">
        <v>2</v>
      </c>
      <c r="DN32">
        <v>0</v>
      </c>
      <c r="DO32">
        <v>0</v>
      </c>
      <c r="DP32">
        <v>1</v>
      </c>
      <c r="DQ32">
        <v>1</v>
      </c>
      <c r="DU32">
        <v>1005</v>
      </c>
      <c r="DV32" t="s">
        <v>26</v>
      </c>
      <c r="DW32" t="s">
        <v>26</v>
      </c>
      <c r="DX32">
        <v>100</v>
      </c>
      <c r="DZ32" t="s">
        <v>2</v>
      </c>
      <c r="EA32" t="s">
        <v>2</v>
      </c>
      <c r="EB32" t="s">
        <v>2</v>
      </c>
      <c r="EC32" t="s">
        <v>2</v>
      </c>
      <c r="EE32">
        <v>222773592</v>
      </c>
      <c r="EF32">
        <v>2</v>
      </c>
      <c r="EG32" t="s">
        <v>47</v>
      </c>
      <c r="EH32">
        <v>15</v>
      </c>
      <c r="EI32" t="s">
        <v>48</v>
      </c>
      <c r="EJ32">
        <v>1</v>
      </c>
      <c r="EK32">
        <v>15001</v>
      </c>
      <c r="EL32" t="s">
        <v>48</v>
      </c>
      <c r="EM32" t="s">
        <v>49</v>
      </c>
      <c r="EN32" t="s">
        <v>2</v>
      </c>
      <c r="EO32" t="s">
        <v>50</v>
      </c>
      <c r="EQ32">
        <v>768</v>
      </c>
      <c r="ER32">
        <v>296.87</v>
      </c>
      <c r="ES32">
        <v>82.78</v>
      </c>
      <c r="ET32">
        <v>6.88</v>
      </c>
      <c r="EU32">
        <v>1.3</v>
      </c>
      <c r="EV32">
        <v>207.21</v>
      </c>
      <c r="EW32">
        <v>23.1</v>
      </c>
      <c r="EX32">
        <v>0.11</v>
      </c>
      <c r="EY32">
        <v>0</v>
      </c>
      <c r="FQ32">
        <v>0</v>
      </c>
      <c r="FR32">
        <f t="shared" si="49"/>
        <v>0</v>
      </c>
      <c r="FS32">
        <v>0</v>
      </c>
      <c r="FX32">
        <v>101</v>
      </c>
      <c r="FY32">
        <v>49</v>
      </c>
      <c r="GA32" t="s">
        <v>2</v>
      </c>
      <c r="GD32">
        <v>1</v>
      </c>
      <c r="GF32">
        <v>-591156103</v>
      </c>
      <c r="GG32">
        <v>2</v>
      </c>
      <c r="GH32">
        <v>1</v>
      </c>
      <c r="GI32">
        <v>-2</v>
      </c>
      <c r="GJ32">
        <v>0</v>
      </c>
      <c r="GK32">
        <v>0</v>
      </c>
      <c r="GL32">
        <f t="shared" si="50"/>
        <v>0</v>
      </c>
      <c r="GM32">
        <f t="shared" si="51"/>
        <v>343</v>
      </c>
      <c r="GN32">
        <f t="shared" si="52"/>
        <v>343</v>
      </c>
      <c r="GO32">
        <f t="shared" si="53"/>
        <v>0</v>
      </c>
      <c r="GP32">
        <f t="shared" si="54"/>
        <v>0</v>
      </c>
      <c r="GR32">
        <v>0</v>
      </c>
      <c r="GS32">
        <v>3</v>
      </c>
      <c r="GT32">
        <v>0</v>
      </c>
      <c r="GU32" t="s">
        <v>2</v>
      </c>
      <c r="GV32">
        <f t="shared" si="55"/>
        <v>0</v>
      </c>
      <c r="GW32">
        <v>1</v>
      </c>
      <c r="GX32">
        <f t="shared" si="56"/>
        <v>0</v>
      </c>
      <c r="HA32">
        <v>0</v>
      </c>
      <c r="HB32">
        <v>0</v>
      </c>
      <c r="HC32">
        <f t="shared" si="57"/>
        <v>0</v>
      </c>
      <c r="HE32" t="s">
        <v>2</v>
      </c>
      <c r="HF32" t="s">
        <v>2</v>
      </c>
      <c r="IK32">
        <v>0</v>
      </c>
    </row>
    <row r="33" spans="1:245" x14ac:dyDescent="0.2">
      <c r="A33">
        <v>17</v>
      </c>
      <c r="B33">
        <v>1</v>
      </c>
      <c r="E33" t="s">
        <v>51</v>
      </c>
      <c r="F33" t="s">
        <v>52</v>
      </c>
      <c r="G33" t="s">
        <v>53</v>
      </c>
      <c r="H33" t="s">
        <v>18</v>
      </c>
      <c r="I33">
        <f>ROUND(0.48*0.063,9)</f>
        <v>3.024E-2</v>
      </c>
      <c r="J33">
        <v>0</v>
      </c>
      <c r="O33">
        <f t="shared" si="21"/>
        <v>449</v>
      </c>
      <c r="P33">
        <f t="shared" si="22"/>
        <v>449</v>
      </c>
      <c r="Q33">
        <f t="shared" si="23"/>
        <v>0</v>
      </c>
      <c r="R33">
        <f t="shared" si="24"/>
        <v>0</v>
      </c>
      <c r="S33">
        <f t="shared" si="25"/>
        <v>0</v>
      </c>
      <c r="T33">
        <f t="shared" si="26"/>
        <v>0</v>
      </c>
      <c r="U33">
        <f t="shared" si="27"/>
        <v>0</v>
      </c>
      <c r="V33">
        <f t="shared" si="28"/>
        <v>0</v>
      </c>
      <c r="W33">
        <f t="shared" si="29"/>
        <v>0</v>
      </c>
      <c r="X33">
        <f t="shared" si="30"/>
        <v>0</v>
      </c>
      <c r="Y33">
        <f t="shared" si="31"/>
        <v>0</v>
      </c>
      <c r="AA33">
        <v>224527337</v>
      </c>
      <c r="AB33">
        <f t="shared" si="32"/>
        <v>14837.58</v>
      </c>
      <c r="AC33">
        <f t="shared" si="33"/>
        <v>14837.58</v>
      </c>
      <c r="AD33">
        <f>ROUND((((ET33)-(EU33))+AE33),2)</f>
        <v>0</v>
      </c>
      <c r="AE33">
        <f>ROUND((EU33),2)</f>
        <v>0</v>
      </c>
      <c r="AF33">
        <f>ROUND((EV33),2)</f>
        <v>0</v>
      </c>
      <c r="AG33">
        <f t="shared" si="35"/>
        <v>0</v>
      </c>
      <c r="AH33">
        <f>(EW33)</f>
        <v>0</v>
      </c>
      <c r="AI33">
        <f>(EX33)</f>
        <v>0</v>
      </c>
      <c r="AJ33">
        <f t="shared" si="37"/>
        <v>0</v>
      </c>
      <c r="AK33">
        <v>14837.58</v>
      </c>
      <c r="AL33">
        <v>14837.58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1</v>
      </c>
      <c r="AW33">
        <v>1</v>
      </c>
      <c r="AZ33">
        <v>1</v>
      </c>
      <c r="BA33">
        <v>1</v>
      </c>
      <c r="BB33">
        <v>1</v>
      </c>
      <c r="BC33">
        <v>1</v>
      </c>
      <c r="BD33" t="s">
        <v>2</v>
      </c>
      <c r="BE33" t="s">
        <v>2</v>
      </c>
      <c r="BF33" t="s">
        <v>2</v>
      </c>
      <c r="BG33" t="s">
        <v>2</v>
      </c>
      <c r="BH33">
        <v>3</v>
      </c>
      <c r="BI33">
        <v>1</v>
      </c>
      <c r="BJ33" t="s">
        <v>54</v>
      </c>
      <c r="BM33">
        <v>500001</v>
      </c>
      <c r="BN33">
        <v>0</v>
      </c>
      <c r="BO33" t="s">
        <v>2</v>
      </c>
      <c r="BP33">
        <v>0</v>
      </c>
      <c r="BQ33">
        <v>8</v>
      </c>
      <c r="BR33">
        <v>0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2</v>
      </c>
      <c r="BZ33">
        <v>0</v>
      </c>
      <c r="CA33">
        <v>0</v>
      </c>
      <c r="CE33">
        <v>0</v>
      </c>
      <c r="CF33">
        <v>0</v>
      </c>
      <c r="CG33">
        <v>0</v>
      </c>
      <c r="CM33">
        <v>0</v>
      </c>
      <c r="CN33" t="s">
        <v>2</v>
      </c>
      <c r="CO33">
        <v>0</v>
      </c>
      <c r="CP33">
        <f t="shared" si="38"/>
        <v>449</v>
      </c>
      <c r="CQ33">
        <f t="shared" si="39"/>
        <v>14837.58</v>
      </c>
      <c r="CR33">
        <f t="shared" si="40"/>
        <v>0</v>
      </c>
      <c r="CS33">
        <f t="shared" si="41"/>
        <v>0</v>
      </c>
      <c r="CT33">
        <f t="shared" si="42"/>
        <v>0</v>
      </c>
      <c r="CU33">
        <f t="shared" si="43"/>
        <v>0</v>
      </c>
      <c r="CV33">
        <f t="shared" si="44"/>
        <v>0</v>
      </c>
      <c r="CW33">
        <f t="shared" si="45"/>
        <v>0</v>
      </c>
      <c r="CX33">
        <f t="shared" si="46"/>
        <v>0</v>
      </c>
      <c r="CY33">
        <f t="shared" si="47"/>
        <v>0</v>
      </c>
      <c r="CZ33">
        <f t="shared" si="48"/>
        <v>0</v>
      </c>
      <c r="DC33" t="s">
        <v>2</v>
      </c>
      <c r="DD33" t="s">
        <v>2</v>
      </c>
      <c r="DE33" t="s">
        <v>2</v>
      </c>
      <c r="DF33" t="s">
        <v>2</v>
      </c>
      <c r="DG33" t="s">
        <v>2</v>
      </c>
      <c r="DH33" t="s">
        <v>2</v>
      </c>
      <c r="DI33" t="s">
        <v>2</v>
      </c>
      <c r="DJ33" t="s">
        <v>2</v>
      </c>
      <c r="DK33" t="s">
        <v>2</v>
      </c>
      <c r="DL33" t="s">
        <v>2</v>
      </c>
      <c r="DM33" t="s">
        <v>2</v>
      </c>
      <c r="DN33">
        <v>0</v>
      </c>
      <c r="DO33">
        <v>0</v>
      </c>
      <c r="DP33">
        <v>1</v>
      </c>
      <c r="DQ33">
        <v>1</v>
      </c>
      <c r="DU33">
        <v>1009</v>
      </c>
      <c r="DV33" t="s">
        <v>18</v>
      </c>
      <c r="DW33" t="s">
        <v>18</v>
      </c>
      <c r="DX33">
        <v>1000</v>
      </c>
      <c r="DZ33" t="s">
        <v>2</v>
      </c>
      <c r="EA33" t="s">
        <v>2</v>
      </c>
      <c r="EB33" t="s">
        <v>2</v>
      </c>
      <c r="EC33" t="s">
        <v>2</v>
      </c>
      <c r="EE33">
        <v>222773498</v>
      </c>
      <c r="EF33">
        <v>8</v>
      </c>
      <c r="EG33" t="s">
        <v>35</v>
      </c>
      <c r="EH33">
        <v>0</v>
      </c>
      <c r="EI33" t="s">
        <v>2</v>
      </c>
      <c r="EJ33">
        <v>1</v>
      </c>
      <c r="EK33">
        <v>500001</v>
      </c>
      <c r="EL33" t="s">
        <v>36</v>
      </c>
      <c r="EM33" t="s">
        <v>37</v>
      </c>
      <c r="EN33" t="s">
        <v>2</v>
      </c>
      <c r="EO33" t="s">
        <v>2</v>
      </c>
      <c r="EQ33">
        <v>0</v>
      </c>
      <c r="ER33">
        <v>14837.58</v>
      </c>
      <c r="ES33">
        <v>14837.58</v>
      </c>
      <c r="ET33">
        <v>0</v>
      </c>
      <c r="EU33">
        <v>0</v>
      </c>
      <c r="EV33">
        <v>0</v>
      </c>
      <c r="EW33">
        <v>0</v>
      </c>
      <c r="EX33">
        <v>0</v>
      </c>
      <c r="EY33">
        <v>0</v>
      </c>
      <c r="FQ33">
        <v>0</v>
      </c>
      <c r="FR33">
        <f t="shared" si="49"/>
        <v>0</v>
      </c>
      <c r="FS33">
        <v>0</v>
      </c>
      <c r="FX33">
        <v>0</v>
      </c>
      <c r="FY33">
        <v>0</v>
      </c>
      <c r="GA33" t="s">
        <v>2</v>
      </c>
      <c r="GD33">
        <v>1</v>
      </c>
      <c r="GF33">
        <v>-1974147358</v>
      </c>
      <c r="GG33">
        <v>2</v>
      </c>
      <c r="GH33">
        <v>1</v>
      </c>
      <c r="GI33">
        <v>-2</v>
      </c>
      <c r="GJ33">
        <v>0</v>
      </c>
      <c r="GK33">
        <v>0</v>
      </c>
      <c r="GL33">
        <f t="shared" si="50"/>
        <v>0</v>
      </c>
      <c r="GM33">
        <f t="shared" si="51"/>
        <v>449</v>
      </c>
      <c r="GN33">
        <f t="shared" si="52"/>
        <v>449</v>
      </c>
      <c r="GO33">
        <f t="shared" si="53"/>
        <v>0</v>
      </c>
      <c r="GP33">
        <f t="shared" si="54"/>
        <v>0</v>
      </c>
      <c r="GR33">
        <v>0</v>
      </c>
      <c r="GS33">
        <v>3</v>
      </c>
      <c r="GT33">
        <v>0</v>
      </c>
      <c r="GU33" t="s">
        <v>2</v>
      </c>
      <c r="GV33">
        <f t="shared" si="55"/>
        <v>0</v>
      </c>
      <c r="GW33">
        <v>1</v>
      </c>
      <c r="GX33">
        <f t="shared" si="56"/>
        <v>0</v>
      </c>
      <c r="HA33">
        <v>0</v>
      </c>
      <c r="HB33">
        <v>0</v>
      </c>
      <c r="HC33">
        <f t="shared" si="57"/>
        <v>0</v>
      </c>
      <c r="HE33" t="s">
        <v>2</v>
      </c>
      <c r="HF33" t="s">
        <v>2</v>
      </c>
      <c r="IK33">
        <v>0</v>
      </c>
    </row>
    <row r="34" spans="1:245" x14ac:dyDescent="0.2">
      <c r="A34">
        <v>17</v>
      </c>
      <c r="B34">
        <v>1</v>
      </c>
      <c r="C34">
        <f>ROW(SmtRes!A18)</f>
        <v>18</v>
      </c>
      <c r="D34">
        <f>ROW(EtalonRes!A22)</f>
        <v>22</v>
      </c>
      <c r="E34" t="s">
        <v>55</v>
      </c>
      <c r="F34" t="s">
        <v>56</v>
      </c>
      <c r="G34" t="s">
        <v>57</v>
      </c>
      <c r="H34" t="s">
        <v>26</v>
      </c>
      <c r="I34">
        <f>ROUND(48/100,9)</f>
        <v>0.48</v>
      </c>
      <c r="J34">
        <v>0</v>
      </c>
      <c r="O34">
        <f t="shared" si="21"/>
        <v>45</v>
      </c>
      <c r="P34">
        <f t="shared" si="22"/>
        <v>0</v>
      </c>
      <c r="Q34">
        <f t="shared" si="23"/>
        <v>2</v>
      </c>
      <c r="R34">
        <f t="shared" si="24"/>
        <v>1</v>
      </c>
      <c r="S34">
        <f t="shared" si="25"/>
        <v>43</v>
      </c>
      <c r="T34">
        <f t="shared" si="26"/>
        <v>0</v>
      </c>
      <c r="U34">
        <f t="shared" si="27"/>
        <v>5.4672000000000001</v>
      </c>
      <c r="V34">
        <f t="shared" si="28"/>
        <v>6.2399999999999997E-2</v>
      </c>
      <c r="W34">
        <f t="shared" si="29"/>
        <v>0</v>
      </c>
      <c r="X34">
        <f t="shared" si="30"/>
        <v>40</v>
      </c>
      <c r="Y34">
        <f t="shared" si="31"/>
        <v>22</v>
      </c>
      <c r="AA34">
        <v>224527337</v>
      </c>
      <c r="AB34">
        <f t="shared" si="32"/>
        <v>92.9</v>
      </c>
      <c r="AC34">
        <f t="shared" si="33"/>
        <v>0</v>
      </c>
      <c r="AD34">
        <f>ROUND((((ET34)-(EU34))+AE34),2)</f>
        <v>4.0599999999999996</v>
      </c>
      <c r="AE34">
        <f>ROUND((EU34),2)</f>
        <v>1.76</v>
      </c>
      <c r="AF34">
        <f>ROUND((EV34),2)</f>
        <v>88.84</v>
      </c>
      <c r="AG34">
        <f t="shared" si="35"/>
        <v>0</v>
      </c>
      <c r="AH34">
        <f>(EW34)</f>
        <v>11.39</v>
      </c>
      <c r="AI34">
        <f>(EX34)</f>
        <v>0.13</v>
      </c>
      <c r="AJ34">
        <f t="shared" si="37"/>
        <v>0</v>
      </c>
      <c r="AK34">
        <v>92.9</v>
      </c>
      <c r="AL34">
        <v>0</v>
      </c>
      <c r="AM34">
        <v>4.0599999999999996</v>
      </c>
      <c r="AN34">
        <v>1.76</v>
      </c>
      <c r="AO34">
        <v>88.84</v>
      </c>
      <c r="AP34">
        <v>0</v>
      </c>
      <c r="AQ34">
        <v>11.39</v>
      </c>
      <c r="AR34">
        <v>0.13</v>
      </c>
      <c r="AS34">
        <v>0</v>
      </c>
      <c r="AT34">
        <v>90</v>
      </c>
      <c r="AU34">
        <v>49</v>
      </c>
      <c r="AV34">
        <v>1</v>
      </c>
      <c r="AW34">
        <v>1</v>
      </c>
      <c r="AZ34">
        <v>1</v>
      </c>
      <c r="BA34">
        <v>1</v>
      </c>
      <c r="BB34">
        <v>1</v>
      </c>
      <c r="BC34">
        <v>1</v>
      </c>
      <c r="BD34" t="s">
        <v>2</v>
      </c>
      <c r="BE34" t="s">
        <v>2</v>
      </c>
      <c r="BF34" t="s">
        <v>2</v>
      </c>
      <c r="BG34" t="s">
        <v>2</v>
      </c>
      <c r="BH34">
        <v>0</v>
      </c>
      <c r="BI34">
        <v>1</v>
      </c>
      <c r="BJ34" t="s">
        <v>58</v>
      </c>
      <c r="BM34">
        <v>57001</v>
      </c>
      <c r="BN34">
        <v>0</v>
      </c>
      <c r="BO34" t="s">
        <v>2</v>
      </c>
      <c r="BP34">
        <v>0</v>
      </c>
      <c r="BQ34">
        <v>6</v>
      </c>
      <c r="BR34">
        <v>0</v>
      </c>
      <c r="BS34">
        <v>1</v>
      </c>
      <c r="BT34">
        <v>1</v>
      </c>
      <c r="BU34">
        <v>1</v>
      </c>
      <c r="BV34">
        <v>1</v>
      </c>
      <c r="BW34">
        <v>1</v>
      </c>
      <c r="BX34">
        <v>1</v>
      </c>
      <c r="BY34" t="s">
        <v>2</v>
      </c>
      <c r="BZ34">
        <v>90</v>
      </c>
      <c r="CA34">
        <v>49</v>
      </c>
      <c r="CE34">
        <v>0</v>
      </c>
      <c r="CF34">
        <v>0</v>
      </c>
      <c r="CG34">
        <v>0</v>
      </c>
      <c r="CM34">
        <v>0</v>
      </c>
      <c r="CN34" t="s">
        <v>2</v>
      </c>
      <c r="CO34">
        <v>0</v>
      </c>
      <c r="CP34">
        <f t="shared" si="38"/>
        <v>45</v>
      </c>
      <c r="CQ34">
        <f t="shared" si="39"/>
        <v>0</v>
      </c>
      <c r="CR34">
        <f t="shared" si="40"/>
        <v>4.0599999999999996</v>
      </c>
      <c r="CS34">
        <f t="shared" si="41"/>
        <v>1.76</v>
      </c>
      <c r="CT34">
        <f t="shared" si="42"/>
        <v>88.84</v>
      </c>
      <c r="CU34">
        <f t="shared" si="43"/>
        <v>0</v>
      </c>
      <c r="CV34">
        <f t="shared" si="44"/>
        <v>11.39</v>
      </c>
      <c r="CW34">
        <f t="shared" si="45"/>
        <v>0.13</v>
      </c>
      <c r="CX34">
        <f t="shared" si="46"/>
        <v>0</v>
      </c>
      <c r="CY34">
        <f t="shared" si="47"/>
        <v>39.6</v>
      </c>
      <c r="CZ34">
        <f t="shared" si="48"/>
        <v>21.56</v>
      </c>
      <c r="DC34" t="s">
        <v>2</v>
      </c>
      <c r="DD34" t="s">
        <v>2</v>
      </c>
      <c r="DE34" t="s">
        <v>2</v>
      </c>
      <c r="DF34" t="s">
        <v>2</v>
      </c>
      <c r="DG34" t="s">
        <v>2</v>
      </c>
      <c r="DH34" t="s">
        <v>2</v>
      </c>
      <c r="DI34" t="s">
        <v>2</v>
      </c>
      <c r="DJ34" t="s">
        <v>2</v>
      </c>
      <c r="DK34" t="s">
        <v>2</v>
      </c>
      <c r="DL34" t="s">
        <v>2</v>
      </c>
      <c r="DM34" t="s">
        <v>2</v>
      </c>
      <c r="DN34">
        <v>0</v>
      </c>
      <c r="DO34">
        <v>0</v>
      </c>
      <c r="DP34">
        <v>1</v>
      </c>
      <c r="DQ34">
        <v>1</v>
      </c>
      <c r="DU34">
        <v>1005</v>
      </c>
      <c r="DV34" t="s">
        <v>26</v>
      </c>
      <c r="DW34" t="s">
        <v>26</v>
      </c>
      <c r="DX34">
        <v>100</v>
      </c>
      <c r="DZ34" t="s">
        <v>2</v>
      </c>
      <c r="EA34" t="s">
        <v>2</v>
      </c>
      <c r="EB34" t="s">
        <v>2</v>
      </c>
      <c r="EC34" t="s">
        <v>2</v>
      </c>
      <c r="EE34">
        <v>222773644</v>
      </c>
      <c r="EF34">
        <v>6</v>
      </c>
      <c r="EG34" t="s">
        <v>20</v>
      </c>
      <c r="EH34">
        <v>11</v>
      </c>
      <c r="EI34" t="s">
        <v>59</v>
      </c>
      <c r="EJ34">
        <v>1</v>
      </c>
      <c r="EK34">
        <v>57001</v>
      </c>
      <c r="EL34" t="s">
        <v>59</v>
      </c>
      <c r="EM34" t="s">
        <v>60</v>
      </c>
      <c r="EN34" t="s">
        <v>2</v>
      </c>
      <c r="EO34" t="s">
        <v>2</v>
      </c>
      <c r="EQ34">
        <v>0</v>
      </c>
      <c r="ER34">
        <v>92.9</v>
      </c>
      <c r="ES34">
        <v>0</v>
      </c>
      <c r="ET34">
        <v>4.0599999999999996</v>
      </c>
      <c r="EU34">
        <v>1.76</v>
      </c>
      <c r="EV34">
        <v>88.84</v>
      </c>
      <c r="EW34">
        <v>11.39</v>
      </c>
      <c r="EX34">
        <v>0.13</v>
      </c>
      <c r="EY34">
        <v>0</v>
      </c>
      <c r="FQ34">
        <v>0</v>
      </c>
      <c r="FR34">
        <f t="shared" si="49"/>
        <v>0</v>
      </c>
      <c r="FS34">
        <v>0</v>
      </c>
      <c r="FX34">
        <v>90</v>
      </c>
      <c r="FY34">
        <v>49</v>
      </c>
      <c r="GA34" t="s">
        <v>2</v>
      </c>
      <c r="GD34">
        <v>1</v>
      </c>
      <c r="GF34">
        <v>1082295582</v>
      </c>
      <c r="GG34">
        <v>2</v>
      </c>
      <c r="GH34">
        <v>1</v>
      </c>
      <c r="GI34">
        <v>-2</v>
      </c>
      <c r="GJ34">
        <v>0</v>
      </c>
      <c r="GK34">
        <v>0</v>
      </c>
      <c r="GL34">
        <f t="shared" si="50"/>
        <v>0</v>
      </c>
      <c r="GM34">
        <f t="shared" si="51"/>
        <v>107</v>
      </c>
      <c r="GN34">
        <f t="shared" si="52"/>
        <v>107</v>
      </c>
      <c r="GO34">
        <f t="shared" si="53"/>
        <v>0</v>
      </c>
      <c r="GP34">
        <f t="shared" si="54"/>
        <v>0</v>
      </c>
      <c r="GR34">
        <v>0</v>
      </c>
      <c r="GS34">
        <v>3</v>
      </c>
      <c r="GT34">
        <v>0</v>
      </c>
      <c r="GU34" t="s">
        <v>2</v>
      </c>
      <c r="GV34">
        <f t="shared" si="55"/>
        <v>0</v>
      </c>
      <c r="GW34">
        <v>1</v>
      </c>
      <c r="GX34">
        <f t="shared" si="56"/>
        <v>0</v>
      </c>
      <c r="HA34">
        <v>0</v>
      </c>
      <c r="HB34">
        <v>0</v>
      </c>
      <c r="HC34">
        <f t="shared" si="57"/>
        <v>0</v>
      </c>
      <c r="HE34" t="s">
        <v>2</v>
      </c>
      <c r="HF34" t="s">
        <v>2</v>
      </c>
      <c r="IK34">
        <v>0</v>
      </c>
    </row>
    <row r="35" spans="1:245" x14ac:dyDescent="0.2">
      <c r="A35">
        <v>17</v>
      </c>
      <c r="B35">
        <v>1</v>
      </c>
      <c r="C35">
        <f>ROW(SmtRes!A24)</f>
        <v>24</v>
      </c>
      <c r="D35">
        <f>ROW(EtalonRes!A29)</f>
        <v>29</v>
      </c>
      <c r="E35" t="s">
        <v>61</v>
      </c>
      <c r="F35" t="s">
        <v>62</v>
      </c>
      <c r="G35" t="s">
        <v>63</v>
      </c>
      <c r="H35" t="s">
        <v>26</v>
      </c>
      <c r="I35">
        <f>ROUND(48/100,9)</f>
        <v>0.48</v>
      </c>
      <c r="J35">
        <v>0</v>
      </c>
      <c r="O35">
        <f t="shared" si="21"/>
        <v>270</v>
      </c>
      <c r="P35">
        <f t="shared" si="22"/>
        <v>33</v>
      </c>
      <c r="Q35">
        <f t="shared" si="23"/>
        <v>30</v>
      </c>
      <c r="R35">
        <f t="shared" si="24"/>
        <v>7</v>
      </c>
      <c r="S35">
        <f t="shared" si="25"/>
        <v>207</v>
      </c>
      <c r="T35">
        <f t="shared" si="26"/>
        <v>0</v>
      </c>
      <c r="U35">
        <f t="shared" si="27"/>
        <v>24.967180799999998</v>
      </c>
      <c r="V35">
        <f t="shared" si="28"/>
        <v>0.59039999999999981</v>
      </c>
      <c r="W35">
        <f t="shared" si="29"/>
        <v>0</v>
      </c>
      <c r="X35">
        <f t="shared" si="30"/>
        <v>242</v>
      </c>
      <c r="Y35">
        <f t="shared" si="31"/>
        <v>118</v>
      </c>
      <c r="AA35">
        <v>224527337</v>
      </c>
      <c r="AB35">
        <f t="shared" si="32"/>
        <v>564.16</v>
      </c>
      <c r="AC35">
        <f t="shared" si="33"/>
        <v>68.650000000000006</v>
      </c>
      <c r="AD35">
        <f>ROUND((((((ET35*1.25)*1.2))-(((EU35*1.25)*1.2)))+AE35),2)</f>
        <v>63.26</v>
      </c>
      <c r="AE35">
        <f>ROUND((((EU35*1.25)*1.2)),2)</f>
        <v>15.24</v>
      </c>
      <c r="AF35">
        <f>ROUND(((((EV35*1.2)*1.15)*1.2)),2)</f>
        <v>432.25</v>
      </c>
      <c r="AG35">
        <f t="shared" si="35"/>
        <v>0</v>
      </c>
      <c r="AH35">
        <f>((((EW35*1.2)*1.15)*1.2))</f>
        <v>52.014959999999995</v>
      </c>
      <c r="AI35">
        <f>(((EX35*1.25)*1.2))</f>
        <v>1.2299999999999998</v>
      </c>
      <c r="AJ35">
        <f t="shared" si="37"/>
        <v>0</v>
      </c>
      <c r="AK35">
        <v>371.84</v>
      </c>
      <c r="AL35">
        <v>68.650000000000006</v>
      </c>
      <c r="AM35">
        <v>42.17</v>
      </c>
      <c r="AN35">
        <v>10.16</v>
      </c>
      <c r="AO35">
        <v>261.02</v>
      </c>
      <c r="AP35">
        <v>0</v>
      </c>
      <c r="AQ35">
        <v>31.41</v>
      </c>
      <c r="AR35">
        <v>0.82</v>
      </c>
      <c r="AS35">
        <v>0</v>
      </c>
      <c r="AT35">
        <v>113</v>
      </c>
      <c r="AU35">
        <v>55.25</v>
      </c>
      <c r="AV35">
        <v>1</v>
      </c>
      <c r="AW35">
        <v>1</v>
      </c>
      <c r="AZ35">
        <v>1</v>
      </c>
      <c r="BA35">
        <v>1</v>
      </c>
      <c r="BB35">
        <v>1</v>
      </c>
      <c r="BC35">
        <v>1</v>
      </c>
      <c r="BD35" t="s">
        <v>2</v>
      </c>
      <c r="BE35" t="s">
        <v>2</v>
      </c>
      <c r="BF35" t="s">
        <v>2</v>
      </c>
      <c r="BG35" t="s">
        <v>2</v>
      </c>
      <c r="BH35">
        <v>0</v>
      </c>
      <c r="BI35">
        <v>1</v>
      </c>
      <c r="BJ35" t="s">
        <v>64</v>
      </c>
      <c r="BM35">
        <v>11001</v>
      </c>
      <c r="BN35">
        <v>0</v>
      </c>
      <c r="BO35" t="s">
        <v>2</v>
      </c>
      <c r="BP35">
        <v>0</v>
      </c>
      <c r="BQ35">
        <v>2</v>
      </c>
      <c r="BR35">
        <v>0</v>
      </c>
      <c r="BS35">
        <v>1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2</v>
      </c>
      <c r="BZ35">
        <v>113</v>
      </c>
      <c r="CA35">
        <v>65</v>
      </c>
      <c r="CE35">
        <v>0</v>
      </c>
      <c r="CF35">
        <v>0</v>
      </c>
      <c r="CG35">
        <v>0</v>
      </c>
      <c r="CM35">
        <v>0</v>
      </c>
      <c r="CN35" t="s">
        <v>797</v>
      </c>
      <c r="CO35">
        <v>0</v>
      </c>
      <c r="CP35">
        <f t="shared" si="38"/>
        <v>270</v>
      </c>
      <c r="CQ35">
        <f t="shared" si="39"/>
        <v>68.650000000000006</v>
      </c>
      <c r="CR35">
        <f t="shared" si="40"/>
        <v>63.26</v>
      </c>
      <c r="CS35">
        <f t="shared" si="41"/>
        <v>15.24</v>
      </c>
      <c r="CT35">
        <f t="shared" si="42"/>
        <v>432.25</v>
      </c>
      <c r="CU35">
        <f t="shared" si="43"/>
        <v>0</v>
      </c>
      <c r="CV35">
        <f t="shared" si="44"/>
        <v>52.014959999999995</v>
      </c>
      <c r="CW35">
        <f t="shared" si="45"/>
        <v>1.2299999999999998</v>
      </c>
      <c r="CX35">
        <f t="shared" si="46"/>
        <v>0</v>
      </c>
      <c r="CY35">
        <f t="shared" si="47"/>
        <v>241.82</v>
      </c>
      <c r="CZ35">
        <f t="shared" si="48"/>
        <v>118.235</v>
      </c>
      <c r="DC35" t="s">
        <v>2</v>
      </c>
      <c r="DD35" t="s">
        <v>2</v>
      </c>
      <c r="DE35" t="s">
        <v>65</v>
      </c>
      <c r="DF35" t="s">
        <v>65</v>
      </c>
      <c r="DG35" t="s">
        <v>66</v>
      </c>
      <c r="DH35" t="s">
        <v>2</v>
      </c>
      <c r="DI35" t="s">
        <v>66</v>
      </c>
      <c r="DJ35" t="s">
        <v>65</v>
      </c>
      <c r="DK35" t="s">
        <v>2</v>
      </c>
      <c r="DL35" t="s">
        <v>2</v>
      </c>
      <c r="DM35" t="s">
        <v>67</v>
      </c>
      <c r="DN35">
        <v>0</v>
      </c>
      <c r="DO35">
        <v>0</v>
      </c>
      <c r="DP35">
        <v>1</v>
      </c>
      <c r="DQ35">
        <v>1</v>
      </c>
      <c r="DU35">
        <v>1005</v>
      </c>
      <c r="DV35" t="s">
        <v>26</v>
      </c>
      <c r="DW35" t="s">
        <v>26</v>
      </c>
      <c r="DX35">
        <v>100</v>
      </c>
      <c r="DZ35" t="s">
        <v>2</v>
      </c>
      <c r="EA35" t="s">
        <v>2</v>
      </c>
      <c r="EB35" t="s">
        <v>2</v>
      </c>
      <c r="EC35" t="s">
        <v>2</v>
      </c>
      <c r="EE35">
        <v>222773567</v>
      </c>
      <c r="EF35">
        <v>2</v>
      </c>
      <c r="EG35" t="s">
        <v>47</v>
      </c>
      <c r="EH35">
        <v>11</v>
      </c>
      <c r="EI35" t="s">
        <v>59</v>
      </c>
      <c r="EJ35">
        <v>1</v>
      </c>
      <c r="EK35">
        <v>11001</v>
      </c>
      <c r="EL35" t="s">
        <v>59</v>
      </c>
      <c r="EM35" t="s">
        <v>68</v>
      </c>
      <c r="EN35" t="s">
        <v>2</v>
      </c>
      <c r="EO35" t="s">
        <v>69</v>
      </c>
      <c r="EQ35">
        <v>0</v>
      </c>
      <c r="ER35">
        <v>371.84</v>
      </c>
      <c r="ES35">
        <v>68.650000000000006</v>
      </c>
      <c r="ET35">
        <v>42.17</v>
      </c>
      <c r="EU35">
        <v>10.16</v>
      </c>
      <c r="EV35">
        <v>261.02</v>
      </c>
      <c r="EW35">
        <v>31.41</v>
      </c>
      <c r="EX35">
        <v>0.82</v>
      </c>
      <c r="EY35">
        <v>0</v>
      </c>
      <c r="FQ35">
        <v>0</v>
      </c>
      <c r="FR35">
        <f t="shared" si="49"/>
        <v>0</v>
      </c>
      <c r="FS35">
        <v>0</v>
      </c>
      <c r="FX35">
        <v>113</v>
      </c>
      <c r="FY35">
        <v>55.25</v>
      </c>
      <c r="GA35" t="s">
        <v>2</v>
      </c>
      <c r="GD35">
        <v>1</v>
      </c>
      <c r="GF35">
        <v>124693631</v>
      </c>
      <c r="GG35">
        <v>2</v>
      </c>
      <c r="GH35">
        <v>1</v>
      </c>
      <c r="GI35">
        <v>-2</v>
      </c>
      <c r="GJ35">
        <v>0</v>
      </c>
      <c r="GK35">
        <v>0</v>
      </c>
      <c r="GL35">
        <f t="shared" si="50"/>
        <v>0</v>
      </c>
      <c r="GM35">
        <f t="shared" si="51"/>
        <v>630</v>
      </c>
      <c r="GN35">
        <f t="shared" si="52"/>
        <v>630</v>
      </c>
      <c r="GO35">
        <f t="shared" si="53"/>
        <v>0</v>
      </c>
      <c r="GP35">
        <f t="shared" si="54"/>
        <v>0</v>
      </c>
      <c r="GR35">
        <v>0</v>
      </c>
      <c r="GS35">
        <v>3</v>
      </c>
      <c r="GT35">
        <v>0</v>
      </c>
      <c r="GU35" t="s">
        <v>2</v>
      </c>
      <c r="GV35">
        <f t="shared" si="55"/>
        <v>0</v>
      </c>
      <c r="GW35">
        <v>1</v>
      </c>
      <c r="GX35">
        <f t="shared" si="56"/>
        <v>0</v>
      </c>
      <c r="HA35">
        <v>0</v>
      </c>
      <c r="HB35">
        <v>0</v>
      </c>
      <c r="HC35">
        <f t="shared" si="57"/>
        <v>0</v>
      </c>
      <c r="HE35" t="s">
        <v>2</v>
      </c>
      <c r="HF35" t="s">
        <v>2</v>
      </c>
      <c r="IK35">
        <v>0</v>
      </c>
    </row>
    <row r="36" spans="1:245" x14ac:dyDescent="0.2">
      <c r="A36">
        <v>17</v>
      </c>
      <c r="B36">
        <v>1</v>
      </c>
      <c r="E36" t="s">
        <v>70</v>
      </c>
      <c r="F36" t="s">
        <v>71</v>
      </c>
      <c r="G36" t="s">
        <v>72</v>
      </c>
      <c r="H36" t="s">
        <v>73</v>
      </c>
      <c r="I36">
        <f>ROUND(48*1.25,9)</f>
        <v>60</v>
      </c>
      <c r="J36">
        <v>0</v>
      </c>
      <c r="O36">
        <f t="shared" si="21"/>
        <v>9060</v>
      </c>
      <c r="P36">
        <f t="shared" si="22"/>
        <v>9060</v>
      </c>
      <c r="Q36">
        <f t="shared" si="23"/>
        <v>0</v>
      </c>
      <c r="R36">
        <f t="shared" si="24"/>
        <v>0</v>
      </c>
      <c r="S36">
        <f t="shared" si="25"/>
        <v>0</v>
      </c>
      <c r="T36">
        <f t="shared" si="26"/>
        <v>0</v>
      </c>
      <c r="U36">
        <f t="shared" si="27"/>
        <v>0</v>
      </c>
      <c r="V36">
        <f t="shared" si="28"/>
        <v>0</v>
      </c>
      <c r="W36">
        <f t="shared" si="29"/>
        <v>0</v>
      </c>
      <c r="X36">
        <f t="shared" si="30"/>
        <v>0</v>
      </c>
      <c r="Y36">
        <f t="shared" si="31"/>
        <v>0</v>
      </c>
      <c r="AA36">
        <v>224527337</v>
      </c>
      <c r="AB36">
        <f t="shared" si="32"/>
        <v>151</v>
      </c>
      <c r="AC36">
        <f t="shared" si="33"/>
        <v>151</v>
      </c>
      <c r="AD36">
        <f>ROUND((((ET36)-(EU36))+AE36),2)</f>
        <v>0</v>
      </c>
      <c r="AE36">
        <f>ROUND((EU36),2)</f>
        <v>0</v>
      </c>
      <c r="AF36">
        <f>ROUND((EV36),2)</f>
        <v>0</v>
      </c>
      <c r="AG36">
        <f t="shared" si="35"/>
        <v>0</v>
      </c>
      <c r="AH36">
        <f>(EW36)</f>
        <v>0</v>
      </c>
      <c r="AI36">
        <f>(EX36)</f>
        <v>0</v>
      </c>
      <c r="AJ36">
        <f t="shared" si="37"/>
        <v>0</v>
      </c>
      <c r="AK36">
        <v>151</v>
      </c>
      <c r="AL36">
        <v>151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1</v>
      </c>
      <c r="AW36">
        <v>1</v>
      </c>
      <c r="AZ36">
        <v>1</v>
      </c>
      <c r="BA36">
        <v>1</v>
      </c>
      <c r="BB36">
        <v>1</v>
      </c>
      <c r="BC36">
        <v>1</v>
      </c>
      <c r="BD36" t="s">
        <v>2</v>
      </c>
      <c r="BE36" t="s">
        <v>2</v>
      </c>
      <c r="BF36" t="s">
        <v>2</v>
      </c>
      <c r="BG36" t="s">
        <v>2</v>
      </c>
      <c r="BH36">
        <v>3</v>
      </c>
      <c r="BI36">
        <v>1</v>
      </c>
      <c r="BJ36" t="s">
        <v>74</v>
      </c>
      <c r="BM36">
        <v>500001</v>
      </c>
      <c r="BN36">
        <v>0</v>
      </c>
      <c r="BO36" t="s">
        <v>2</v>
      </c>
      <c r="BP36">
        <v>0</v>
      </c>
      <c r="BQ36">
        <v>8</v>
      </c>
      <c r="BR36">
        <v>0</v>
      </c>
      <c r="BS36">
        <v>1</v>
      </c>
      <c r="BT36">
        <v>1</v>
      </c>
      <c r="BU36">
        <v>1</v>
      </c>
      <c r="BV36">
        <v>1</v>
      </c>
      <c r="BW36">
        <v>1</v>
      </c>
      <c r="BX36">
        <v>1</v>
      </c>
      <c r="BY36" t="s">
        <v>2</v>
      </c>
      <c r="BZ36">
        <v>0</v>
      </c>
      <c r="CA36">
        <v>0</v>
      </c>
      <c r="CE36">
        <v>0</v>
      </c>
      <c r="CF36">
        <v>0</v>
      </c>
      <c r="CG36">
        <v>0</v>
      </c>
      <c r="CM36">
        <v>0</v>
      </c>
      <c r="CN36" t="s">
        <v>2</v>
      </c>
      <c r="CO36">
        <v>0</v>
      </c>
      <c r="CP36">
        <f t="shared" si="38"/>
        <v>9060</v>
      </c>
      <c r="CQ36">
        <f t="shared" si="39"/>
        <v>151</v>
      </c>
      <c r="CR36">
        <f t="shared" si="40"/>
        <v>0</v>
      </c>
      <c r="CS36">
        <f t="shared" si="41"/>
        <v>0</v>
      </c>
      <c r="CT36">
        <f t="shared" si="42"/>
        <v>0</v>
      </c>
      <c r="CU36">
        <f t="shared" si="43"/>
        <v>0</v>
      </c>
      <c r="CV36">
        <f t="shared" si="44"/>
        <v>0</v>
      </c>
      <c r="CW36">
        <f t="shared" si="45"/>
        <v>0</v>
      </c>
      <c r="CX36">
        <f t="shared" si="46"/>
        <v>0</v>
      </c>
      <c r="CY36">
        <f t="shared" si="47"/>
        <v>0</v>
      </c>
      <c r="CZ36">
        <f t="shared" si="48"/>
        <v>0</v>
      </c>
      <c r="DC36" t="s">
        <v>2</v>
      </c>
      <c r="DD36" t="s">
        <v>2</v>
      </c>
      <c r="DE36" t="s">
        <v>2</v>
      </c>
      <c r="DF36" t="s">
        <v>2</v>
      </c>
      <c r="DG36" t="s">
        <v>2</v>
      </c>
      <c r="DH36" t="s">
        <v>2</v>
      </c>
      <c r="DI36" t="s">
        <v>2</v>
      </c>
      <c r="DJ36" t="s">
        <v>2</v>
      </c>
      <c r="DK36" t="s">
        <v>2</v>
      </c>
      <c r="DL36" t="s">
        <v>2</v>
      </c>
      <c r="DM36" t="s">
        <v>2</v>
      </c>
      <c r="DN36">
        <v>0</v>
      </c>
      <c r="DO36">
        <v>0</v>
      </c>
      <c r="DP36">
        <v>1</v>
      </c>
      <c r="DQ36">
        <v>1</v>
      </c>
      <c r="DU36">
        <v>1005</v>
      </c>
      <c r="DV36" t="s">
        <v>73</v>
      </c>
      <c r="DW36" t="s">
        <v>73</v>
      </c>
      <c r="DX36">
        <v>1</v>
      </c>
      <c r="DZ36" t="s">
        <v>2</v>
      </c>
      <c r="EA36" t="s">
        <v>2</v>
      </c>
      <c r="EB36" t="s">
        <v>2</v>
      </c>
      <c r="EC36" t="s">
        <v>2</v>
      </c>
      <c r="EE36">
        <v>222773498</v>
      </c>
      <c r="EF36">
        <v>8</v>
      </c>
      <c r="EG36" t="s">
        <v>35</v>
      </c>
      <c r="EH36">
        <v>0</v>
      </c>
      <c r="EI36" t="s">
        <v>2</v>
      </c>
      <c r="EJ36">
        <v>1</v>
      </c>
      <c r="EK36">
        <v>500001</v>
      </c>
      <c r="EL36" t="s">
        <v>36</v>
      </c>
      <c r="EM36" t="s">
        <v>37</v>
      </c>
      <c r="EN36" t="s">
        <v>2</v>
      </c>
      <c r="EO36" t="s">
        <v>2</v>
      </c>
      <c r="EQ36">
        <v>0</v>
      </c>
      <c r="ER36">
        <v>151</v>
      </c>
      <c r="ES36">
        <v>151</v>
      </c>
      <c r="ET36">
        <v>0</v>
      </c>
      <c r="EU36">
        <v>0</v>
      </c>
      <c r="EV36">
        <v>0</v>
      </c>
      <c r="EW36">
        <v>0</v>
      </c>
      <c r="EX36">
        <v>0</v>
      </c>
      <c r="EY36">
        <v>0</v>
      </c>
      <c r="FQ36">
        <v>0</v>
      </c>
      <c r="FR36">
        <f t="shared" si="49"/>
        <v>0</v>
      </c>
      <c r="FS36">
        <v>0</v>
      </c>
      <c r="FX36">
        <v>0</v>
      </c>
      <c r="FY36">
        <v>0</v>
      </c>
      <c r="GA36" t="s">
        <v>2</v>
      </c>
      <c r="GD36">
        <v>1</v>
      </c>
      <c r="GF36">
        <v>1530530546</v>
      </c>
      <c r="GG36">
        <v>2</v>
      </c>
      <c r="GH36">
        <v>1</v>
      </c>
      <c r="GI36">
        <v>-2</v>
      </c>
      <c r="GJ36">
        <v>0</v>
      </c>
      <c r="GK36">
        <v>0</v>
      </c>
      <c r="GL36">
        <f t="shared" si="50"/>
        <v>0</v>
      </c>
      <c r="GM36">
        <f t="shared" si="51"/>
        <v>9060</v>
      </c>
      <c r="GN36">
        <f t="shared" si="52"/>
        <v>9060</v>
      </c>
      <c r="GO36">
        <f t="shared" si="53"/>
        <v>0</v>
      </c>
      <c r="GP36">
        <f t="shared" si="54"/>
        <v>0</v>
      </c>
      <c r="GR36">
        <v>0</v>
      </c>
      <c r="GS36">
        <v>3</v>
      </c>
      <c r="GT36">
        <v>0</v>
      </c>
      <c r="GU36" t="s">
        <v>2</v>
      </c>
      <c r="GV36">
        <f t="shared" si="55"/>
        <v>0</v>
      </c>
      <c r="GW36">
        <v>1</v>
      </c>
      <c r="GX36">
        <f t="shared" si="56"/>
        <v>0</v>
      </c>
      <c r="HA36">
        <v>0</v>
      </c>
      <c r="HB36">
        <v>0</v>
      </c>
      <c r="HC36">
        <f t="shared" si="57"/>
        <v>0</v>
      </c>
      <c r="HE36" t="s">
        <v>2</v>
      </c>
      <c r="HF36" t="s">
        <v>2</v>
      </c>
      <c r="IK36">
        <v>0</v>
      </c>
    </row>
    <row r="37" spans="1:245" x14ac:dyDescent="0.2">
      <c r="A37">
        <v>17</v>
      </c>
      <c r="B37">
        <v>1</v>
      </c>
      <c r="C37">
        <f>ROW(SmtRes!A30)</f>
        <v>30</v>
      </c>
      <c r="D37">
        <f>ROW(EtalonRes!A35)</f>
        <v>35</v>
      </c>
      <c r="E37" t="s">
        <v>75</v>
      </c>
      <c r="F37" t="s">
        <v>76</v>
      </c>
      <c r="G37" t="s">
        <v>77</v>
      </c>
      <c r="H37" t="s">
        <v>78</v>
      </c>
      <c r="I37">
        <f>ROUND(27/100,9)</f>
        <v>0.27</v>
      </c>
      <c r="J37">
        <v>0</v>
      </c>
      <c r="O37">
        <f t="shared" si="21"/>
        <v>22</v>
      </c>
      <c r="P37">
        <f t="shared" si="22"/>
        <v>0</v>
      </c>
      <c r="Q37">
        <f t="shared" si="23"/>
        <v>2</v>
      </c>
      <c r="R37">
        <f t="shared" si="24"/>
        <v>0</v>
      </c>
      <c r="S37">
        <f t="shared" si="25"/>
        <v>20</v>
      </c>
      <c r="T37">
        <f t="shared" si="26"/>
        <v>0</v>
      </c>
      <c r="U37">
        <f t="shared" si="27"/>
        <v>2.2892543999999999</v>
      </c>
      <c r="V37">
        <f t="shared" si="28"/>
        <v>2.9160000000000002E-2</v>
      </c>
      <c r="W37">
        <f t="shared" si="29"/>
        <v>0</v>
      </c>
      <c r="X37">
        <f t="shared" si="30"/>
        <v>23</v>
      </c>
      <c r="Y37">
        <f t="shared" si="31"/>
        <v>11</v>
      </c>
      <c r="AA37">
        <v>224527337</v>
      </c>
      <c r="AB37">
        <f t="shared" si="32"/>
        <v>79</v>
      </c>
      <c r="AC37">
        <f>ROUND(((ES37*0)),2)</f>
        <v>0</v>
      </c>
      <c r="AD37">
        <f>ROUND(((((((ET37*0.8)*1.25)*1.2))-((((EU37*0.8)*1.25)*1.2)))+AE37),2)</f>
        <v>6.68</v>
      </c>
      <c r="AE37">
        <f>ROUND(((((EU37*0.8)*1.25)*1.2)),2)</f>
        <v>1.28</v>
      </c>
      <c r="AF37">
        <f>ROUND(((((EV37*0.8)*1.15)*1.2)),2)</f>
        <v>72.319999999999993</v>
      </c>
      <c r="AG37">
        <f t="shared" si="35"/>
        <v>0</v>
      </c>
      <c r="AH37">
        <f>((((EW37*0.8)*1.15)*1.2))</f>
        <v>8.4787199999999991</v>
      </c>
      <c r="AI37">
        <f>((((EX37*0.8)*1.25)*1.2))</f>
        <v>0.108</v>
      </c>
      <c r="AJ37">
        <f t="shared" si="37"/>
        <v>0</v>
      </c>
      <c r="AK37">
        <v>567.51</v>
      </c>
      <c r="AL37">
        <v>496.43</v>
      </c>
      <c r="AM37">
        <v>5.57</v>
      </c>
      <c r="AN37">
        <v>1.07</v>
      </c>
      <c r="AO37">
        <v>65.510000000000005</v>
      </c>
      <c r="AP37">
        <v>0</v>
      </c>
      <c r="AQ37">
        <v>7.68</v>
      </c>
      <c r="AR37">
        <v>0.09</v>
      </c>
      <c r="AS37">
        <v>0</v>
      </c>
      <c r="AT37">
        <v>113</v>
      </c>
      <c r="AU37">
        <v>55.25</v>
      </c>
      <c r="AV37">
        <v>1</v>
      </c>
      <c r="AW37">
        <v>1</v>
      </c>
      <c r="AZ37">
        <v>1</v>
      </c>
      <c r="BA37">
        <v>1</v>
      </c>
      <c r="BB37">
        <v>1</v>
      </c>
      <c r="BC37">
        <v>1</v>
      </c>
      <c r="BD37" t="s">
        <v>2</v>
      </c>
      <c r="BE37" t="s">
        <v>2</v>
      </c>
      <c r="BF37" t="s">
        <v>2</v>
      </c>
      <c r="BG37" t="s">
        <v>2</v>
      </c>
      <c r="BH37">
        <v>0</v>
      </c>
      <c r="BI37">
        <v>1</v>
      </c>
      <c r="BJ37" t="s">
        <v>79</v>
      </c>
      <c r="BM37">
        <v>11001</v>
      </c>
      <c r="BN37">
        <v>0</v>
      </c>
      <c r="BO37" t="s">
        <v>2</v>
      </c>
      <c r="BP37">
        <v>0</v>
      </c>
      <c r="BQ37">
        <v>2</v>
      </c>
      <c r="BR37">
        <v>0</v>
      </c>
      <c r="BS37">
        <v>1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2</v>
      </c>
      <c r="BZ37">
        <v>113</v>
      </c>
      <c r="CA37">
        <v>65</v>
      </c>
      <c r="CE37">
        <v>0</v>
      </c>
      <c r="CF37">
        <v>0</v>
      </c>
      <c r="CG37">
        <v>0</v>
      </c>
      <c r="CM37">
        <v>0</v>
      </c>
      <c r="CN37" t="s">
        <v>798</v>
      </c>
      <c r="CO37">
        <v>0</v>
      </c>
      <c r="CP37">
        <f t="shared" si="38"/>
        <v>22</v>
      </c>
      <c r="CQ37">
        <f t="shared" si="39"/>
        <v>0</v>
      </c>
      <c r="CR37">
        <f t="shared" si="40"/>
        <v>6.68</v>
      </c>
      <c r="CS37">
        <f t="shared" si="41"/>
        <v>1.28</v>
      </c>
      <c r="CT37">
        <f t="shared" si="42"/>
        <v>72.319999999999993</v>
      </c>
      <c r="CU37">
        <f t="shared" si="43"/>
        <v>0</v>
      </c>
      <c r="CV37">
        <f t="shared" si="44"/>
        <v>8.4787199999999991</v>
      </c>
      <c r="CW37">
        <f t="shared" si="45"/>
        <v>0.108</v>
      </c>
      <c r="CX37">
        <f t="shared" si="46"/>
        <v>0</v>
      </c>
      <c r="CY37">
        <f t="shared" si="47"/>
        <v>22.6</v>
      </c>
      <c r="CZ37">
        <f t="shared" si="48"/>
        <v>11.05</v>
      </c>
      <c r="DC37" t="s">
        <v>2</v>
      </c>
      <c r="DD37" t="s">
        <v>80</v>
      </c>
      <c r="DE37" t="s">
        <v>81</v>
      </c>
      <c r="DF37" t="s">
        <v>81</v>
      </c>
      <c r="DG37" t="s">
        <v>82</v>
      </c>
      <c r="DH37" t="s">
        <v>2</v>
      </c>
      <c r="DI37" t="s">
        <v>82</v>
      </c>
      <c r="DJ37" t="s">
        <v>81</v>
      </c>
      <c r="DK37" t="s">
        <v>2</v>
      </c>
      <c r="DL37" t="s">
        <v>2</v>
      </c>
      <c r="DM37" t="s">
        <v>67</v>
      </c>
      <c r="DN37">
        <v>0</v>
      </c>
      <c r="DO37">
        <v>0</v>
      </c>
      <c r="DP37">
        <v>1</v>
      </c>
      <c r="DQ37">
        <v>1</v>
      </c>
      <c r="DU37">
        <v>1003</v>
      </c>
      <c r="DV37" t="s">
        <v>78</v>
      </c>
      <c r="DW37" t="s">
        <v>78</v>
      </c>
      <c r="DX37">
        <v>100</v>
      </c>
      <c r="DZ37" t="s">
        <v>2</v>
      </c>
      <c r="EA37" t="s">
        <v>2</v>
      </c>
      <c r="EB37" t="s">
        <v>2</v>
      </c>
      <c r="EC37" t="s">
        <v>2</v>
      </c>
      <c r="EE37">
        <v>222773567</v>
      </c>
      <c r="EF37">
        <v>2</v>
      </c>
      <c r="EG37" t="s">
        <v>47</v>
      </c>
      <c r="EH37">
        <v>11</v>
      </c>
      <c r="EI37" t="s">
        <v>59</v>
      </c>
      <c r="EJ37">
        <v>1</v>
      </c>
      <c r="EK37">
        <v>11001</v>
      </c>
      <c r="EL37" t="s">
        <v>59</v>
      </c>
      <c r="EM37" t="s">
        <v>68</v>
      </c>
      <c r="EN37" t="s">
        <v>2</v>
      </c>
      <c r="EO37" t="s">
        <v>83</v>
      </c>
      <c r="EQ37">
        <v>768</v>
      </c>
      <c r="ER37">
        <v>567.51</v>
      </c>
      <c r="ES37">
        <v>496.43</v>
      </c>
      <c r="ET37">
        <v>5.57</v>
      </c>
      <c r="EU37">
        <v>1.07</v>
      </c>
      <c r="EV37">
        <v>65.510000000000005</v>
      </c>
      <c r="EW37">
        <v>7.68</v>
      </c>
      <c r="EX37">
        <v>0.09</v>
      </c>
      <c r="EY37">
        <v>0</v>
      </c>
      <c r="FQ37">
        <v>0</v>
      </c>
      <c r="FR37">
        <f t="shared" si="49"/>
        <v>0</v>
      </c>
      <c r="FS37">
        <v>0</v>
      </c>
      <c r="FX37">
        <v>113</v>
      </c>
      <c r="FY37">
        <v>55.25</v>
      </c>
      <c r="GA37" t="s">
        <v>2</v>
      </c>
      <c r="GD37">
        <v>1</v>
      </c>
      <c r="GF37">
        <v>-1701290359</v>
      </c>
      <c r="GG37">
        <v>2</v>
      </c>
      <c r="GH37">
        <v>1</v>
      </c>
      <c r="GI37">
        <v>-2</v>
      </c>
      <c r="GJ37">
        <v>0</v>
      </c>
      <c r="GK37">
        <v>0</v>
      </c>
      <c r="GL37">
        <f t="shared" si="50"/>
        <v>0</v>
      </c>
      <c r="GM37">
        <f t="shared" si="51"/>
        <v>56</v>
      </c>
      <c r="GN37">
        <f t="shared" si="52"/>
        <v>56</v>
      </c>
      <c r="GO37">
        <f t="shared" si="53"/>
        <v>0</v>
      </c>
      <c r="GP37">
        <f t="shared" si="54"/>
        <v>0</v>
      </c>
      <c r="GR37">
        <v>0</v>
      </c>
      <c r="GS37">
        <v>3</v>
      </c>
      <c r="GT37">
        <v>0</v>
      </c>
      <c r="GU37" t="s">
        <v>2</v>
      </c>
      <c r="GV37">
        <f t="shared" si="55"/>
        <v>0</v>
      </c>
      <c r="GW37">
        <v>1</v>
      </c>
      <c r="GX37">
        <f t="shared" si="56"/>
        <v>0</v>
      </c>
      <c r="HA37">
        <v>0</v>
      </c>
      <c r="HB37">
        <v>0</v>
      </c>
      <c r="HC37">
        <f t="shared" si="57"/>
        <v>0</v>
      </c>
      <c r="HE37" t="s">
        <v>2</v>
      </c>
      <c r="HF37" t="s">
        <v>2</v>
      </c>
      <c r="IK37">
        <v>0</v>
      </c>
    </row>
    <row r="38" spans="1:245" x14ac:dyDescent="0.2">
      <c r="A38">
        <v>17</v>
      </c>
      <c r="B38">
        <v>1</v>
      </c>
      <c r="C38">
        <f>ROW(SmtRes!A36)</f>
        <v>36</v>
      </c>
      <c r="D38">
        <f>ROW(EtalonRes!A41)</f>
        <v>41</v>
      </c>
      <c r="E38" t="s">
        <v>84</v>
      </c>
      <c r="F38" t="s">
        <v>76</v>
      </c>
      <c r="G38" t="s">
        <v>77</v>
      </c>
      <c r="H38" t="s">
        <v>78</v>
      </c>
      <c r="I38">
        <f>ROUND(27/100,9)</f>
        <v>0.27</v>
      </c>
      <c r="J38">
        <v>0</v>
      </c>
      <c r="O38">
        <f t="shared" si="21"/>
        <v>160</v>
      </c>
      <c r="P38">
        <f t="shared" si="22"/>
        <v>134</v>
      </c>
      <c r="Q38">
        <f t="shared" si="23"/>
        <v>2</v>
      </c>
      <c r="R38">
        <f t="shared" si="24"/>
        <v>0</v>
      </c>
      <c r="S38">
        <f t="shared" si="25"/>
        <v>24</v>
      </c>
      <c r="T38">
        <f t="shared" si="26"/>
        <v>0</v>
      </c>
      <c r="U38">
        <f t="shared" si="27"/>
        <v>2.8615679999999997</v>
      </c>
      <c r="V38">
        <f t="shared" si="28"/>
        <v>3.6449999999999996E-2</v>
      </c>
      <c r="W38">
        <f t="shared" si="29"/>
        <v>0</v>
      </c>
      <c r="X38">
        <f t="shared" si="30"/>
        <v>27</v>
      </c>
      <c r="Y38">
        <f t="shared" si="31"/>
        <v>13</v>
      </c>
      <c r="AA38">
        <v>224527337</v>
      </c>
      <c r="AB38">
        <f t="shared" si="32"/>
        <v>595.19000000000005</v>
      </c>
      <c r="AC38">
        <f t="shared" ref="AC38:AC46" si="58">ROUND((ES38),2)</f>
        <v>496.43</v>
      </c>
      <c r="AD38">
        <f>ROUND((((((ET38*1.25)*1.2))-(((EU38*1.25)*1.2)))+AE38),2)</f>
        <v>8.36</v>
      </c>
      <c r="AE38">
        <f>ROUND((((EU38*1.25)*1.2)),2)</f>
        <v>1.61</v>
      </c>
      <c r="AF38">
        <f>ROUND((((EV38*1.15)*1.2)),2)</f>
        <v>90.4</v>
      </c>
      <c r="AG38">
        <f t="shared" si="35"/>
        <v>0</v>
      </c>
      <c r="AH38">
        <f>(((EW38*1.15)*1.2))</f>
        <v>10.598399999999998</v>
      </c>
      <c r="AI38">
        <f>(((EX38*1.25)*1.2))</f>
        <v>0.13499999999999998</v>
      </c>
      <c r="AJ38">
        <f t="shared" si="37"/>
        <v>0</v>
      </c>
      <c r="AK38">
        <v>567.51</v>
      </c>
      <c r="AL38">
        <v>496.43</v>
      </c>
      <c r="AM38">
        <v>5.57</v>
      </c>
      <c r="AN38">
        <v>1.07</v>
      </c>
      <c r="AO38">
        <v>65.510000000000005</v>
      </c>
      <c r="AP38">
        <v>0</v>
      </c>
      <c r="AQ38">
        <v>7.68</v>
      </c>
      <c r="AR38">
        <v>0.09</v>
      </c>
      <c r="AS38">
        <v>0</v>
      </c>
      <c r="AT38">
        <v>113</v>
      </c>
      <c r="AU38">
        <v>55.25</v>
      </c>
      <c r="AV38">
        <v>1</v>
      </c>
      <c r="AW38">
        <v>1</v>
      </c>
      <c r="AZ38">
        <v>1</v>
      </c>
      <c r="BA38">
        <v>1</v>
      </c>
      <c r="BB38">
        <v>1</v>
      </c>
      <c r="BC38">
        <v>1</v>
      </c>
      <c r="BD38" t="s">
        <v>2</v>
      </c>
      <c r="BE38" t="s">
        <v>2</v>
      </c>
      <c r="BF38" t="s">
        <v>2</v>
      </c>
      <c r="BG38" t="s">
        <v>2</v>
      </c>
      <c r="BH38">
        <v>0</v>
      </c>
      <c r="BI38">
        <v>1</v>
      </c>
      <c r="BJ38" t="s">
        <v>79</v>
      </c>
      <c r="BM38">
        <v>11001</v>
      </c>
      <c r="BN38">
        <v>0</v>
      </c>
      <c r="BO38" t="s">
        <v>2</v>
      </c>
      <c r="BP38">
        <v>0</v>
      </c>
      <c r="BQ38">
        <v>2</v>
      </c>
      <c r="BR38">
        <v>0</v>
      </c>
      <c r="BS38">
        <v>1</v>
      </c>
      <c r="BT38">
        <v>1</v>
      </c>
      <c r="BU38">
        <v>1</v>
      </c>
      <c r="BV38">
        <v>1</v>
      </c>
      <c r="BW38">
        <v>1</v>
      </c>
      <c r="BX38">
        <v>1</v>
      </c>
      <c r="BY38" t="s">
        <v>2</v>
      </c>
      <c r="BZ38">
        <v>113</v>
      </c>
      <c r="CA38">
        <v>65</v>
      </c>
      <c r="CE38">
        <v>0</v>
      </c>
      <c r="CF38">
        <v>0</v>
      </c>
      <c r="CG38">
        <v>0</v>
      </c>
      <c r="CM38">
        <v>0</v>
      </c>
      <c r="CN38" t="s">
        <v>799</v>
      </c>
      <c r="CO38">
        <v>0</v>
      </c>
      <c r="CP38">
        <f t="shared" si="38"/>
        <v>160</v>
      </c>
      <c r="CQ38">
        <f t="shared" si="39"/>
        <v>496.43</v>
      </c>
      <c r="CR38">
        <f t="shared" si="40"/>
        <v>8.36</v>
      </c>
      <c r="CS38">
        <f t="shared" si="41"/>
        <v>1.61</v>
      </c>
      <c r="CT38">
        <f t="shared" si="42"/>
        <v>90.4</v>
      </c>
      <c r="CU38">
        <f t="shared" si="43"/>
        <v>0</v>
      </c>
      <c r="CV38">
        <f t="shared" si="44"/>
        <v>10.598399999999998</v>
      </c>
      <c r="CW38">
        <f t="shared" si="45"/>
        <v>0.13499999999999998</v>
      </c>
      <c r="CX38">
        <f t="shared" si="46"/>
        <v>0</v>
      </c>
      <c r="CY38">
        <f t="shared" si="47"/>
        <v>27.12</v>
      </c>
      <c r="CZ38">
        <f t="shared" si="48"/>
        <v>13.26</v>
      </c>
      <c r="DC38" t="s">
        <v>2</v>
      </c>
      <c r="DD38" t="s">
        <v>2</v>
      </c>
      <c r="DE38" t="s">
        <v>65</v>
      </c>
      <c r="DF38" t="s">
        <v>65</v>
      </c>
      <c r="DG38" t="s">
        <v>85</v>
      </c>
      <c r="DH38" t="s">
        <v>2</v>
      </c>
      <c r="DI38" t="s">
        <v>85</v>
      </c>
      <c r="DJ38" t="s">
        <v>65</v>
      </c>
      <c r="DK38" t="s">
        <v>2</v>
      </c>
      <c r="DL38" t="s">
        <v>2</v>
      </c>
      <c r="DM38" t="s">
        <v>67</v>
      </c>
      <c r="DN38">
        <v>0</v>
      </c>
      <c r="DO38">
        <v>0</v>
      </c>
      <c r="DP38">
        <v>1</v>
      </c>
      <c r="DQ38">
        <v>1</v>
      </c>
      <c r="DU38">
        <v>1003</v>
      </c>
      <c r="DV38" t="s">
        <v>78</v>
      </c>
      <c r="DW38" t="s">
        <v>78</v>
      </c>
      <c r="DX38">
        <v>100</v>
      </c>
      <c r="DZ38" t="s">
        <v>2</v>
      </c>
      <c r="EA38" t="s">
        <v>2</v>
      </c>
      <c r="EB38" t="s">
        <v>2</v>
      </c>
      <c r="EC38" t="s">
        <v>2</v>
      </c>
      <c r="EE38">
        <v>222773567</v>
      </c>
      <c r="EF38">
        <v>2</v>
      </c>
      <c r="EG38" t="s">
        <v>47</v>
      </c>
      <c r="EH38">
        <v>11</v>
      </c>
      <c r="EI38" t="s">
        <v>59</v>
      </c>
      <c r="EJ38">
        <v>1</v>
      </c>
      <c r="EK38">
        <v>11001</v>
      </c>
      <c r="EL38" t="s">
        <v>59</v>
      </c>
      <c r="EM38" t="s">
        <v>68</v>
      </c>
      <c r="EN38" t="s">
        <v>2</v>
      </c>
      <c r="EO38" t="s">
        <v>86</v>
      </c>
      <c r="EQ38">
        <v>768</v>
      </c>
      <c r="ER38">
        <v>567.51</v>
      </c>
      <c r="ES38">
        <v>496.43</v>
      </c>
      <c r="ET38">
        <v>5.57</v>
      </c>
      <c r="EU38">
        <v>1.07</v>
      </c>
      <c r="EV38">
        <v>65.510000000000005</v>
      </c>
      <c r="EW38">
        <v>7.68</v>
      </c>
      <c r="EX38">
        <v>0.09</v>
      </c>
      <c r="EY38">
        <v>0</v>
      </c>
      <c r="FQ38">
        <v>0</v>
      </c>
      <c r="FR38">
        <f t="shared" si="49"/>
        <v>0</v>
      </c>
      <c r="FS38">
        <v>0</v>
      </c>
      <c r="FX38">
        <v>113</v>
      </c>
      <c r="FY38">
        <v>55.25</v>
      </c>
      <c r="GA38" t="s">
        <v>2</v>
      </c>
      <c r="GD38">
        <v>1</v>
      </c>
      <c r="GF38">
        <v>-1701290359</v>
      </c>
      <c r="GG38">
        <v>2</v>
      </c>
      <c r="GH38">
        <v>1</v>
      </c>
      <c r="GI38">
        <v>-2</v>
      </c>
      <c r="GJ38">
        <v>0</v>
      </c>
      <c r="GK38">
        <v>0</v>
      </c>
      <c r="GL38">
        <f t="shared" si="50"/>
        <v>0</v>
      </c>
      <c r="GM38">
        <f t="shared" si="51"/>
        <v>200</v>
      </c>
      <c r="GN38">
        <f t="shared" si="52"/>
        <v>200</v>
      </c>
      <c r="GO38">
        <f t="shared" si="53"/>
        <v>0</v>
      </c>
      <c r="GP38">
        <f t="shared" si="54"/>
        <v>0</v>
      </c>
      <c r="GR38">
        <v>0</v>
      </c>
      <c r="GS38">
        <v>3</v>
      </c>
      <c r="GT38">
        <v>0</v>
      </c>
      <c r="GU38" t="s">
        <v>2</v>
      </c>
      <c r="GV38">
        <f t="shared" si="55"/>
        <v>0</v>
      </c>
      <c r="GW38">
        <v>1</v>
      </c>
      <c r="GX38">
        <f t="shared" si="56"/>
        <v>0</v>
      </c>
      <c r="HA38">
        <v>0</v>
      </c>
      <c r="HB38">
        <v>0</v>
      </c>
      <c r="HC38">
        <f t="shared" si="57"/>
        <v>0</v>
      </c>
      <c r="HE38" t="s">
        <v>2</v>
      </c>
      <c r="HF38" t="s">
        <v>2</v>
      </c>
      <c r="IK38">
        <v>0</v>
      </c>
    </row>
    <row r="39" spans="1:245" x14ac:dyDescent="0.2">
      <c r="A39">
        <v>17</v>
      </c>
      <c r="B39">
        <v>1</v>
      </c>
      <c r="C39">
        <f>ROW(SmtRes!A42)</f>
        <v>42</v>
      </c>
      <c r="D39">
        <f>ROW(EtalonRes!A49)</f>
        <v>49</v>
      </c>
      <c r="E39" t="s">
        <v>87</v>
      </c>
      <c r="F39" t="s">
        <v>88</v>
      </c>
      <c r="G39" t="s">
        <v>89</v>
      </c>
      <c r="H39" t="s">
        <v>26</v>
      </c>
      <c r="I39">
        <f>ROUND(95.8/100,9)</f>
        <v>0.95799999999999996</v>
      </c>
      <c r="J39">
        <v>0</v>
      </c>
      <c r="O39">
        <f t="shared" si="21"/>
        <v>307</v>
      </c>
      <c r="P39">
        <f t="shared" si="22"/>
        <v>1</v>
      </c>
      <c r="Q39">
        <f t="shared" si="23"/>
        <v>16</v>
      </c>
      <c r="R39">
        <f t="shared" si="24"/>
        <v>10</v>
      </c>
      <c r="S39">
        <f t="shared" si="25"/>
        <v>290</v>
      </c>
      <c r="T39">
        <f t="shared" si="26"/>
        <v>0</v>
      </c>
      <c r="U39">
        <f t="shared" si="27"/>
        <v>34.325139999999998</v>
      </c>
      <c r="V39">
        <f t="shared" si="28"/>
        <v>0.90051999999999988</v>
      </c>
      <c r="W39">
        <f t="shared" si="29"/>
        <v>0</v>
      </c>
      <c r="X39">
        <f t="shared" si="30"/>
        <v>270</v>
      </c>
      <c r="Y39">
        <f t="shared" si="31"/>
        <v>132</v>
      </c>
      <c r="AA39">
        <v>224527337</v>
      </c>
      <c r="AB39">
        <f t="shared" si="32"/>
        <v>321.52999999999997</v>
      </c>
      <c r="AC39">
        <f t="shared" si="58"/>
        <v>1.25</v>
      </c>
      <c r="AD39">
        <f>ROUND((((ET39)-(EU39))+AE39),2)</f>
        <v>17.16</v>
      </c>
      <c r="AE39">
        <f t="shared" ref="AE39:AF41" si="59">ROUND((EU39),2)</f>
        <v>10.18</v>
      </c>
      <c r="AF39">
        <f t="shared" si="59"/>
        <v>303.12</v>
      </c>
      <c r="AG39">
        <f t="shared" si="35"/>
        <v>0</v>
      </c>
      <c r="AH39">
        <f t="shared" ref="AH39:AI41" si="60">(EW39)</f>
        <v>35.83</v>
      </c>
      <c r="AI39">
        <f t="shared" si="60"/>
        <v>0.94</v>
      </c>
      <c r="AJ39">
        <f t="shared" si="37"/>
        <v>0</v>
      </c>
      <c r="AK39">
        <v>321.52999999999997</v>
      </c>
      <c r="AL39">
        <v>1.25</v>
      </c>
      <c r="AM39">
        <v>17.16</v>
      </c>
      <c r="AN39">
        <v>10.18</v>
      </c>
      <c r="AO39">
        <v>303.12</v>
      </c>
      <c r="AP39">
        <v>0</v>
      </c>
      <c r="AQ39">
        <v>35.83</v>
      </c>
      <c r="AR39">
        <v>0.94</v>
      </c>
      <c r="AS39">
        <v>0</v>
      </c>
      <c r="AT39">
        <v>90</v>
      </c>
      <c r="AU39">
        <v>44</v>
      </c>
      <c r="AV39">
        <v>1</v>
      </c>
      <c r="AW39">
        <v>1</v>
      </c>
      <c r="AZ39">
        <v>1</v>
      </c>
      <c r="BA39">
        <v>1</v>
      </c>
      <c r="BB39">
        <v>1</v>
      </c>
      <c r="BC39">
        <v>1</v>
      </c>
      <c r="BD39" t="s">
        <v>2</v>
      </c>
      <c r="BE39" t="s">
        <v>2</v>
      </c>
      <c r="BF39" t="s">
        <v>2</v>
      </c>
      <c r="BG39" t="s">
        <v>2</v>
      </c>
      <c r="BH39">
        <v>0</v>
      </c>
      <c r="BI39">
        <v>1</v>
      </c>
      <c r="BJ39" t="s">
        <v>90</v>
      </c>
      <c r="BM39">
        <v>61001</v>
      </c>
      <c r="BN39">
        <v>0</v>
      </c>
      <c r="BO39" t="s">
        <v>2</v>
      </c>
      <c r="BP39">
        <v>0</v>
      </c>
      <c r="BQ39">
        <v>6</v>
      </c>
      <c r="BR39">
        <v>0</v>
      </c>
      <c r="BS39">
        <v>1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2</v>
      </c>
      <c r="BZ39">
        <v>90</v>
      </c>
      <c r="CA39">
        <v>44</v>
      </c>
      <c r="CE39">
        <v>0</v>
      </c>
      <c r="CF39">
        <v>0</v>
      </c>
      <c r="CG39">
        <v>0</v>
      </c>
      <c r="CM39">
        <v>0</v>
      </c>
      <c r="CN39" t="s">
        <v>2</v>
      </c>
      <c r="CO39">
        <v>0</v>
      </c>
      <c r="CP39">
        <f t="shared" si="38"/>
        <v>307</v>
      </c>
      <c r="CQ39">
        <f t="shared" si="39"/>
        <v>1.25</v>
      </c>
      <c r="CR39">
        <f t="shared" si="40"/>
        <v>17.16</v>
      </c>
      <c r="CS39">
        <f t="shared" si="41"/>
        <v>10.18</v>
      </c>
      <c r="CT39">
        <f t="shared" si="42"/>
        <v>303.12</v>
      </c>
      <c r="CU39">
        <f t="shared" si="43"/>
        <v>0</v>
      </c>
      <c r="CV39">
        <f t="shared" si="44"/>
        <v>35.83</v>
      </c>
      <c r="CW39">
        <f t="shared" si="45"/>
        <v>0.94</v>
      </c>
      <c r="CX39">
        <f t="shared" si="46"/>
        <v>0</v>
      </c>
      <c r="CY39">
        <f t="shared" si="47"/>
        <v>270</v>
      </c>
      <c r="CZ39">
        <f t="shared" si="48"/>
        <v>132</v>
      </c>
      <c r="DC39" t="s">
        <v>2</v>
      </c>
      <c r="DD39" t="s">
        <v>2</v>
      </c>
      <c r="DE39" t="s">
        <v>2</v>
      </c>
      <c r="DF39" t="s">
        <v>2</v>
      </c>
      <c r="DG39" t="s">
        <v>2</v>
      </c>
      <c r="DH39" t="s">
        <v>2</v>
      </c>
      <c r="DI39" t="s">
        <v>2</v>
      </c>
      <c r="DJ39" t="s">
        <v>2</v>
      </c>
      <c r="DK39" t="s">
        <v>2</v>
      </c>
      <c r="DL39" t="s">
        <v>2</v>
      </c>
      <c r="DM39" t="s">
        <v>2</v>
      </c>
      <c r="DN39">
        <v>0</v>
      </c>
      <c r="DO39">
        <v>0</v>
      </c>
      <c r="DP39">
        <v>1</v>
      </c>
      <c r="DQ39">
        <v>1</v>
      </c>
      <c r="DU39">
        <v>1005</v>
      </c>
      <c r="DV39" t="s">
        <v>26</v>
      </c>
      <c r="DW39" t="s">
        <v>26</v>
      </c>
      <c r="DX39">
        <v>100</v>
      </c>
      <c r="DZ39" t="s">
        <v>2</v>
      </c>
      <c r="EA39" t="s">
        <v>2</v>
      </c>
      <c r="EB39" t="s">
        <v>2</v>
      </c>
      <c r="EC39" t="s">
        <v>2</v>
      </c>
      <c r="EE39">
        <v>222773648</v>
      </c>
      <c r="EF39">
        <v>6</v>
      </c>
      <c r="EG39" t="s">
        <v>20</v>
      </c>
      <c r="EH39">
        <v>95</v>
      </c>
      <c r="EI39" t="s">
        <v>28</v>
      </c>
      <c r="EJ39">
        <v>1</v>
      </c>
      <c r="EK39">
        <v>61001</v>
      </c>
      <c r="EL39" t="s">
        <v>28</v>
      </c>
      <c r="EM39" t="s">
        <v>29</v>
      </c>
      <c r="EN39" t="s">
        <v>2</v>
      </c>
      <c r="EO39" t="s">
        <v>2</v>
      </c>
      <c r="EQ39">
        <v>0</v>
      </c>
      <c r="ER39">
        <v>321.52999999999997</v>
      </c>
      <c r="ES39">
        <v>1.25</v>
      </c>
      <c r="ET39">
        <v>17.16</v>
      </c>
      <c r="EU39">
        <v>10.18</v>
      </c>
      <c r="EV39">
        <v>303.12</v>
      </c>
      <c r="EW39">
        <v>35.83</v>
      </c>
      <c r="EX39">
        <v>0.94</v>
      </c>
      <c r="EY39">
        <v>0</v>
      </c>
      <c r="FQ39">
        <v>0</v>
      </c>
      <c r="FR39">
        <f t="shared" si="49"/>
        <v>0</v>
      </c>
      <c r="FS39">
        <v>0</v>
      </c>
      <c r="FX39">
        <v>90</v>
      </c>
      <c r="FY39">
        <v>44</v>
      </c>
      <c r="GA39" t="s">
        <v>2</v>
      </c>
      <c r="GD39">
        <v>1</v>
      </c>
      <c r="GF39">
        <v>937825282</v>
      </c>
      <c r="GG39">
        <v>2</v>
      </c>
      <c r="GH39">
        <v>1</v>
      </c>
      <c r="GI39">
        <v>-2</v>
      </c>
      <c r="GJ39">
        <v>0</v>
      </c>
      <c r="GK39">
        <v>0</v>
      </c>
      <c r="GL39">
        <f t="shared" si="50"/>
        <v>0</v>
      </c>
      <c r="GM39">
        <f t="shared" si="51"/>
        <v>709</v>
      </c>
      <c r="GN39">
        <f t="shared" si="52"/>
        <v>709</v>
      </c>
      <c r="GO39">
        <f t="shared" si="53"/>
        <v>0</v>
      </c>
      <c r="GP39">
        <f t="shared" si="54"/>
        <v>0</v>
      </c>
      <c r="GR39">
        <v>0</v>
      </c>
      <c r="GS39">
        <v>3</v>
      </c>
      <c r="GT39">
        <v>0</v>
      </c>
      <c r="GU39" t="s">
        <v>2</v>
      </c>
      <c r="GV39">
        <f t="shared" si="55"/>
        <v>0</v>
      </c>
      <c r="GW39">
        <v>1</v>
      </c>
      <c r="GX39">
        <f t="shared" si="56"/>
        <v>0</v>
      </c>
      <c r="HA39">
        <v>0</v>
      </c>
      <c r="HB39">
        <v>0</v>
      </c>
      <c r="HC39">
        <f t="shared" si="57"/>
        <v>0</v>
      </c>
      <c r="HE39" t="s">
        <v>2</v>
      </c>
      <c r="HF39" t="s">
        <v>2</v>
      </c>
      <c r="IK39">
        <v>0</v>
      </c>
    </row>
    <row r="40" spans="1:245" x14ac:dyDescent="0.2">
      <c r="A40">
        <v>17</v>
      </c>
      <c r="B40">
        <v>1</v>
      </c>
      <c r="E40" t="s">
        <v>91</v>
      </c>
      <c r="F40" t="s">
        <v>31</v>
      </c>
      <c r="G40" t="s">
        <v>32</v>
      </c>
      <c r="H40" t="s">
        <v>33</v>
      </c>
      <c r="I40">
        <f>ROUND(0.958*0.855*1000,9)</f>
        <v>819.09</v>
      </c>
      <c r="J40">
        <v>0</v>
      </c>
      <c r="O40">
        <f t="shared" si="21"/>
        <v>1409</v>
      </c>
      <c r="P40">
        <f t="shared" si="22"/>
        <v>1409</v>
      </c>
      <c r="Q40">
        <f t="shared" si="23"/>
        <v>0</v>
      </c>
      <c r="R40">
        <f t="shared" si="24"/>
        <v>0</v>
      </c>
      <c r="S40">
        <f t="shared" si="25"/>
        <v>0</v>
      </c>
      <c r="T40">
        <f t="shared" si="26"/>
        <v>0</v>
      </c>
      <c r="U40">
        <f t="shared" si="27"/>
        <v>0</v>
      </c>
      <c r="V40">
        <f t="shared" si="28"/>
        <v>0</v>
      </c>
      <c r="W40">
        <f t="shared" si="29"/>
        <v>0</v>
      </c>
      <c r="X40">
        <f t="shared" si="30"/>
        <v>0</v>
      </c>
      <c r="Y40">
        <f t="shared" si="31"/>
        <v>0</v>
      </c>
      <c r="AA40">
        <v>224527337</v>
      </c>
      <c r="AB40">
        <f t="shared" si="32"/>
        <v>1.72</v>
      </c>
      <c r="AC40">
        <f t="shared" si="58"/>
        <v>1.72</v>
      </c>
      <c r="AD40">
        <f>ROUND((((ET40)-(EU40))+AE40),2)</f>
        <v>0</v>
      </c>
      <c r="AE40">
        <f t="shared" si="59"/>
        <v>0</v>
      </c>
      <c r="AF40">
        <f t="shared" si="59"/>
        <v>0</v>
      </c>
      <c r="AG40">
        <f t="shared" si="35"/>
        <v>0</v>
      </c>
      <c r="AH40">
        <f t="shared" si="60"/>
        <v>0</v>
      </c>
      <c r="AI40">
        <f t="shared" si="60"/>
        <v>0</v>
      </c>
      <c r="AJ40">
        <f t="shared" si="37"/>
        <v>0</v>
      </c>
      <c r="AK40">
        <v>1.72</v>
      </c>
      <c r="AL40">
        <v>1.72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1</v>
      </c>
      <c r="AW40">
        <v>1</v>
      </c>
      <c r="AZ40">
        <v>1</v>
      </c>
      <c r="BA40">
        <v>1</v>
      </c>
      <c r="BB40">
        <v>1</v>
      </c>
      <c r="BC40">
        <v>1</v>
      </c>
      <c r="BD40" t="s">
        <v>2</v>
      </c>
      <c r="BE40" t="s">
        <v>2</v>
      </c>
      <c r="BF40" t="s">
        <v>2</v>
      </c>
      <c r="BG40" t="s">
        <v>2</v>
      </c>
      <c r="BH40">
        <v>3</v>
      </c>
      <c r="BI40">
        <v>1</v>
      </c>
      <c r="BJ40" t="s">
        <v>34</v>
      </c>
      <c r="BM40">
        <v>500001</v>
      </c>
      <c r="BN40">
        <v>0</v>
      </c>
      <c r="BO40" t="s">
        <v>2</v>
      </c>
      <c r="BP40">
        <v>0</v>
      </c>
      <c r="BQ40">
        <v>8</v>
      </c>
      <c r="BR40">
        <v>0</v>
      </c>
      <c r="BS40">
        <v>1</v>
      </c>
      <c r="BT40">
        <v>1</v>
      </c>
      <c r="BU40">
        <v>1</v>
      </c>
      <c r="BV40">
        <v>1</v>
      </c>
      <c r="BW40">
        <v>1</v>
      </c>
      <c r="BX40">
        <v>1</v>
      </c>
      <c r="BY40" t="s">
        <v>2</v>
      </c>
      <c r="BZ40">
        <v>0</v>
      </c>
      <c r="CA40">
        <v>0</v>
      </c>
      <c r="CE40">
        <v>0</v>
      </c>
      <c r="CF40">
        <v>0</v>
      </c>
      <c r="CG40">
        <v>0</v>
      </c>
      <c r="CM40">
        <v>0</v>
      </c>
      <c r="CN40" t="s">
        <v>2</v>
      </c>
      <c r="CO40">
        <v>0</v>
      </c>
      <c r="CP40">
        <f t="shared" si="38"/>
        <v>1409</v>
      </c>
      <c r="CQ40">
        <f t="shared" si="39"/>
        <v>1.72</v>
      </c>
      <c r="CR40">
        <f t="shared" si="40"/>
        <v>0</v>
      </c>
      <c r="CS40">
        <f t="shared" si="41"/>
        <v>0</v>
      </c>
      <c r="CT40">
        <f t="shared" si="42"/>
        <v>0</v>
      </c>
      <c r="CU40">
        <f t="shared" si="43"/>
        <v>0</v>
      </c>
      <c r="CV40">
        <f t="shared" si="44"/>
        <v>0</v>
      </c>
      <c r="CW40">
        <f t="shared" si="45"/>
        <v>0</v>
      </c>
      <c r="CX40">
        <f t="shared" si="46"/>
        <v>0</v>
      </c>
      <c r="CY40">
        <f t="shared" si="47"/>
        <v>0</v>
      </c>
      <c r="CZ40">
        <f t="shared" si="48"/>
        <v>0</v>
      </c>
      <c r="DC40" t="s">
        <v>2</v>
      </c>
      <c r="DD40" t="s">
        <v>2</v>
      </c>
      <c r="DE40" t="s">
        <v>2</v>
      </c>
      <c r="DF40" t="s">
        <v>2</v>
      </c>
      <c r="DG40" t="s">
        <v>2</v>
      </c>
      <c r="DH40" t="s">
        <v>2</v>
      </c>
      <c r="DI40" t="s">
        <v>2</v>
      </c>
      <c r="DJ40" t="s">
        <v>2</v>
      </c>
      <c r="DK40" t="s">
        <v>2</v>
      </c>
      <c r="DL40" t="s">
        <v>2</v>
      </c>
      <c r="DM40" t="s">
        <v>2</v>
      </c>
      <c r="DN40">
        <v>0</v>
      </c>
      <c r="DO40">
        <v>0</v>
      </c>
      <c r="DP40">
        <v>1</v>
      </c>
      <c r="DQ40">
        <v>1</v>
      </c>
      <c r="DU40">
        <v>1009</v>
      </c>
      <c r="DV40" t="s">
        <v>33</v>
      </c>
      <c r="DW40" t="s">
        <v>33</v>
      </c>
      <c r="DX40">
        <v>1</v>
      </c>
      <c r="DZ40" t="s">
        <v>2</v>
      </c>
      <c r="EA40" t="s">
        <v>2</v>
      </c>
      <c r="EB40" t="s">
        <v>2</v>
      </c>
      <c r="EC40" t="s">
        <v>2</v>
      </c>
      <c r="EE40">
        <v>222773498</v>
      </c>
      <c r="EF40">
        <v>8</v>
      </c>
      <c r="EG40" t="s">
        <v>35</v>
      </c>
      <c r="EH40">
        <v>0</v>
      </c>
      <c r="EI40" t="s">
        <v>2</v>
      </c>
      <c r="EJ40">
        <v>1</v>
      </c>
      <c r="EK40">
        <v>500001</v>
      </c>
      <c r="EL40" t="s">
        <v>36</v>
      </c>
      <c r="EM40" t="s">
        <v>37</v>
      </c>
      <c r="EN40" t="s">
        <v>2</v>
      </c>
      <c r="EO40" t="s">
        <v>2</v>
      </c>
      <c r="EQ40">
        <v>0</v>
      </c>
      <c r="ER40">
        <v>1.72</v>
      </c>
      <c r="ES40">
        <v>1.72</v>
      </c>
      <c r="ET40">
        <v>0</v>
      </c>
      <c r="EU40">
        <v>0</v>
      </c>
      <c r="EV40">
        <v>0</v>
      </c>
      <c r="EW40">
        <v>0</v>
      </c>
      <c r="EX40">
        <v>0</v>
      </c>
      <c r="EY40">
        <v>0</v>
      </c>
      <c r="FQ40">
        <v>0</v>
      </c>
      <c r="FR40">
        <f t="shared" si="49"/>
        <v>0</v>
      </c>
      <c r="FS40">
        <v>0</v>
      </c>
      <c r="FX40">
        <v>0</v>
      </c>
      <c r="FY40">
        <v>0</v>
      </c>
      <c r="GA40" t="s">
        <v>2</v>
      </c>
      <c r="GD40">
        <v>1</v>
      </c>
      <c r="GF40">
        <v>-170393111</v>
      </c>
      <c r="GG40">
        <v>2</v>
      </c>
      <c r="GH40">
        <v>1</v>
      </c>
      <c r="GI40">
        <v>-2</v>
      </c>
      <c r="GJ40">
        <v>0</v>
      </c>
      <c r="GK40">
        <v>0</v>
      </c>
      <c r="GL40">
        <f t="shared" si="50"/>
        <v>0</v>
      </c>
      <c r="GM40">
        <f t="shared" si="51"/>
        <v>1409</v>
      </c>
      <c r="GN40">
        <f t="shared" si="52"/>
        <v>1409</v>
      </c>
      <c r="GO40">
        <f t="shared" si="53"/>
        <v>0</v>
      </c>
      <c r="GP40">
        <f t="shared" si="54"/>
        <v>0</v>
      </c>
      <c r="GR40">
        <v>0</v>
      </c>
      <c r="GS40">
        <v>3</v>
      </c>
      <c r="GT40">
        <v>0</v>
      </c>
      <c r="GU40" t="s">
        <v>2</v>
      </c>
      <c r="GV40">
        <f t="shared" si="55"/>
        <v>0</v>
      </c>
      <c r="GW40">
        <v>1</v>
      </c>
      <c r="GX40">
        <f t="shared" si="56"/>
        <v>0</v>
      </c>
      <c r="HA40">
        <v>0</v>
      </c>
      <c r="HB40">
        <v>0</v>
      </c>
      <c r="HC40">
        <f t="shared" si="57"/>
        <v>0</v>
      </c>
      <c r="HE40" t="s">
        <v>2</v>
      </c>
      <c r="HF40" t="s">
        <v>2</v>
      </c>
      <c r="IK40">
        <v>0</v>
      </c>
    </row>
    <row r="41" spans="1:245" x14ac:dyDescent="0.2">
      <c r="A41">
        <v>17</v>
      </c>
      <c r="B41">
        <v>1</v>
      </c>
      <c r="E41" t="s">
        <v>92</v>
      </c>
      <c r="F41" t="s">
        <v>39</v>
      </c>
      <c r="G41" t="s">
        <v>40</v>
      </c>
      <c r="H41" t="s">
        <v>18</v>
      </c>
      <c r="I41">
        <f>ROUND(95.8*0.106/1000,9)</f>
        <v>1.01548E-2</v>
      </c>
      <c r="J41">
        <v>0</v>
      </c>
      <c r="O41">
        <f t="shared" si="21"/>
        <v>118</v>
      </c>
      <c r="P41">
        <f t="shared" si="22"/>
        <v>118</v>
      </c>
      <c r="Q41">
        <f t="shared" si="23"/>
        <v>0</v>
      </c>
      <c r="R41">
        <f t="shared" si="24"/>
        <v>0</v>
      </c>
      <c r="S41">
        <f t="shared" si="25"/>
        <v>0</v>
      </c>
      <c r="T41">
        <f t="shared" si="26"/>
        <v>0</v>
      </c>
      <c r="U41">
        <f t="shared" si="27"/>
        <v>0</v>
      </c>
      <c r="V41">
        <f t="shared" si="28"/>
        <v>0</v>
      </c>
      <c r="W41">
        <f t="shared" si="29"/>
        <v>0</v>
      </c>
      <c r="X41">
        <f t="shared" si="30"/>
        <v>0</v>
      </c>
      <c r="Y41">
        <f t="shared" si="31"/>
        <v>0</v>
      </c>
      <c r="AA41">
        <v>224527337</v>
      </c>
      <c r="AB41">
        <f t="shared" si="32"/>
        <v>11594.98</v>
      </c>
      <c r="AC41">
        <f t="shared" si="58"/>
        <v>11594.98</v>
      </c>
      <c r="AD41">
        <f>ROUND((((ET41)-(EU41))+AE41),2)</f>
        <v>0</v>
      </c>
      <c r="AE41">
        <f t="shared" si="59"/>
        <v>0</v>
      </c>
      <c r="AF41">
        <f t="shared" si="59"/>
        <v>0</v>
      </c>
      <c r="AG41">
        <f t="shared" si="35"/>
        <v>0</v>
      </c>
      <c r="AH41">
        <f t="shared" si="60"/>
        <v>0</v>
      </c>
      <c r="AI41">
        <f t="shared" si="60"/>
        <v>0</v>
      </c>
      <c r="AJ41">
        <f t="shared" si="37"/>
        <v>0</v>
      </c>
      <c r="AK41">
        <v>11594.98</v>
      </c>
      <c r="AL41">
        <v>11594.98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1</v>
      </c>
      <c r="AW41">
        <v>1</v>
      </c>
      <c r="AZ41">
        <v>1</v>
      </c>
      <c r="BA41">
        <v>1</v>
      </c>
      <c r="BB41">
        <v>1</v>
      </c>
      <c r="BC41">
        <v>1</v>
      </c>
      <c r="BD41" t="s">
        <v>2</v>
      </c>
      <c r="BE41" t="s">
        <v>2</v>
      </c>
      <c r="BF41" t="s">
        <v>2</v>
      </c>
      <c r="BG41" t="s">
        <v>2</v>
      </c>
      <c r="BH41">
        <v>3</v>
      </c>
      <c r="BI41">
        <v>1</v>
      </c>
      <c r="BJ41" t="s">
        <v>41</v>
      </c>
      <c r="BM41">
        <v>500001</v>
      </c>
      <c r="BN41">
        <v>0</v>
      </c>
      <c r="BO41" t="s">
        <v>2</v>
      </c>
      <c r="BP41">
        <v>0</v>
      </c>
      <c r="BQ41">
        <v>8</v>
      </c>
      <c r="BR41">
        <v>0</v>
      </c>
      <c r="BS41">
        <v>1</v>
      </c>
      <c r="BT41">
        <v>1</v>
      </c>
      <c r="BU41">
        <v>1</v>
      </c>
      <c r="BV41">
        <v>1</v>
      </c>
      <c r="BW41">
        <v>1</v>
      </c>
      <c r="BX41">
        <v>1</v>
      </c>
      <c r="BY41" t="s">
        <v>2</v>
      </c>
      <c r="BZ41">
        <v>0</v>
      </c>
      <c r="CA41">
        <v>0</v>
      </c>
      <c r="CE41">
        <v>0</v>
      </c>
      <c r="CF41">
        <v>0</v>
      </c>
      <c r="CG41">
        <v>0</v>
      </c>
      <c r="CM41">
        <v>0</v>
      </c>
      <c r="CN41" t="s">
        <v>2</v>
      </c>
      <c r="CO41">
        <v>0</v>
      </c>
      <c r="CP41">
        <f t="shared" si="38"/>
        <v>118</v>
      </c>
      <c r="CQ41">
        <f t="shared" si="39"/>
        <v>11594.98</v>
      </c>
      <c r="CR41">
        <f t="shared" si="40"/>
        <v>0</v>
      </c>
      <c r="CS41">
        <f t="shared" si="41"/>
        <v>0</v>
      </c>
      <c r="CT41">
        <f t="shared" si="42"/>
        <v>0</v>
      </c>
      <c r="CU41">
        <f t="shared" si="43"/>
        <v>0</v>
      </c>
      <c r="CV41">
        <f t="shared" si="44"/>
        <v>0</v>
      </c>
      <c r="CW41">
        <f t="shared" si="45"/>
        <v>0</v>
      </c>
      <c r="CX41">
        <f t="shared" si="46"/>
        <v>0</v>
      </c>
      <c r="CY41">
        <f t="shared" si="47"/>
        <v>0</v>
      </c>
      <c r="CZ41">
        <f t="shared" si="48"/>
        <v>0</v>
      </c>
      <c r="DC41" t="s">
        <v>2</v>
      </c>
      <c r="DD41" t="s">
        <v>2</v>
      </c>
      <c r="DE41" t="s">
        <v>2</v>
      </c>
      <c r="DF41" t="s">
        <v>2</v>
      </c>
      <c r="DG41" t="s">
        <v>2</v>
      </c>
      <c r="DH41" t="s">
        <v>2</v>
      </c>
      <c r="DI41" t="s">
        <v>2</v>
      </c>
      <c r="DJ41" t="s">
        <v>2</v>
      </c>
      <c r="DK41" t="s">
        <v>2</v>
      </c>
      <c r="DL41" t="s">
        <v>2</v>
      </c>
      <c r="DM41" t="s">
        <v>2</v>
      </c>
      <c r="DN41">
        <v>0</v>
      </c>
      <c r="DO41">
        <v>0</v>
      </c>
      <c r="DP41">
        <v>1</v>
      </c>
      <c r="DQ41">
        <v>1</v>
      </c>
      <c r="DU41">
        <v>1009</v>
      </c>
      <c r="DV41" t="s">
        <v>18</v>
      </c>
      <c r="DW41" t="s">
        <v>18</v>
      </c>
      <c r="DX41">
        <v>1000</v>
      </c>
      <c r="DZ41" t="s">
        <v>2</v>
      </c>
      <c r="EA41" t="s">
        <v>2</v>
      </c>
      <c r="EB41" t="s">
        <v>2</v>
      </c>
      <c r="EC41" t="s">
        <v>2</v>
      </c>
      <c r="EE41">
        <v>222773498</v>
      </c>
      <c r="EF41">
        <v>8</v>
      </c>
      <c r="EG41" t="s">
        <v>35</v>
      </c>
      <c r="EH41">
        <v>0</v>
      </c>
      <c r="EI41" t="s">
        <v>2</v>
      </c>
      <c r="EJ41">
        <v>1</v>
      </c>
      <c r="EK41">
        <v>500001</v>
      </c>
      <c r="EL41" t="s">
        <v>36</v>
      </c>
      <c r="EM41" t="s">
        <v>37</v>
      </c>
      <c r="EN41" t="s">
        <v>2</v>
      </c>
      <c r="EO41" t="s">
        <v>2</v>
      </c>
      <c r="EQ41">
        <v>0</v>
      </c>
      <c r="ER41">
        <v>11594.98</v>
      </c>
      <c r="ES41">
        <v>11594.98</v>
      </c>
      <c r="ET41">
        <v>0</v>
      </c>
      <c r="EU41">
        <v>0</v>
      </c>
      <c r="EV41">
        <v>0</v>
      </c>
      <c r="EW41">
        <v>0</v>
      </c>
      <c r="EX41">
        <v>0</v>
      </c>
      <c r="EY41">
        <v>0</v>
      </c>
      <c r="FQ41">
        <v>0</v>
      </c>
      <c r="FR41">
        <f t="shared" si="49"/>
        <v>0</v>
      </c>
      <c r="FS41">
        <v>0</v>
      </c>
      <c r="FX41">
        <v>0</v>
      </c>
      <c r="FY41">
        <v>0</v>
      </c>
      <c r="GA41" t="s">
        <v>2</v>
      </c>
      <c r="GD41">
        <v>1</v>
      </c>
      <c r="GF41">
        <v>-836788675</v>
      </c>
      <c r="GG41">
        <v>2</v>
      </c>
      <c r="GH41">
        <v>1</v>
      </c>
      <c r="GI41">
        <v>-2</v>
      </c>
      <c r="GJ41">
        <v>0</v>
      </c>
      <c r="GK41">
        <v>0</v>
      </c>
      <c r="GL41">
        <f t="shared" si="50"/>
        <v>0</v>
      </c>
      <c r="GM41">
        <f t="shared" si="51"/>
        <v>118</v>
      </c>
      <c r="GN41">
        <f t="shared" si="52"/>
        <v>118</v>
      </c>
      <c r="GO41">
        <f t="shared" si="53"/>
        <v>0</v>
      </c>
      <c r="GP41">
        <f t="shared" si="54"/>
        <v>0</v>
      </c>
      <c r="GR41">
        <v>0</v>
      </c>
      <c r="GS41">
        <v>3</v>
      </c>
      <c r="GT41">
        <v>0</v>
      </c>
      <c r="GU41" t="s">
        <v>2</v>
      </c>
      <c r="GV41">
        <f t="shared" si="55"/>
        <v>0</v>
      </c>
      <c r="GW41">
        <v>1</v>
      </c>
      <c r="GX41">
        <f t="shared" si="56"/>
        <v>0</v>
      </c>
      <c r="HA41">
        <v>0</v>
      </c>
      <c r="HB41">
        <v>0</v>
      </c>
      <c r="HC41">
        <f t="shared" si="57"/>
        <v>0</v>
      </c>
      <c r="HE41" t="s">
        <v>2</v>
      </c>
      <c r="HF41" t="s">
        <v>2</v>
      </c>
      <c r="IK41">
        <v>0</v>
      </c>
    </row>
    <row r="42" spans="1:245" x14ac:dyDescent="0.2">
      <c r="A42">
        <v>17</v>
      </c>
      <c r="B42">
        <v>1</v>
      </c>
      <c r="C42">
        <f>ROW(SmtRes!A49)</f>
        <v>49</v>
      </c>
      <c r="D42">
        <f>ROW(EtalonRes!A57)</f>
        <v>57</v>
      </c>
      <c r="E42" t="s">
        <v>93</v>
      </c>
      <c r="F42" t="s">
        <v>94</v>
      </c>
      <c r="G42" t="s">
        <v>95</v>
      </c>
      <c r="H42" t="s">
        <v>26</v>
      </c>
      <c r="I42">
        <f>ROUND(95.8/100,9)</f>
        <v>0.95799999999999996</v>
      </c>
      <c r="J42">
        <v>0</v>
      </c>
      <c r="O42">
        <f t="shared" si="21"/>
        <v>214</v>
      </c>
      <c r="P42">
        <f t="shared" si="22"/>
        <v>42</v>
      </c>
      <c r="Q42">
        <f t="shared" si="23"/>
        <v>8</v>
      </c>
      <c r="R42">
        <f t="shared" si="24"/>
        <v>2</v>
      </c>
      <c r="S42">
        <f t="shared" si="25"/>
        <v>164</v>
      </c>
      <c r="T42">
        <f t="shared" si="26"/>
        <v>0</v>
      </c>
      <c r="U42">
        <f t="shared" si="27"/>
        <v>18.244151999999996</v>
      </c>
      <c r="V42">
        <f t="shared" si="28"/>
        <v>0.12932999999999997</v>
      </c>
      <c r="W42">
        <f t="shared" si="29"/>
        <v>0</v>
      </c>
      <c r="X42">
        <f t="shared" si="30"/>
        <v>168</v>
      </c>
      <c r="Y42">
        <f t="shared" si="31"/>
        <v>69</v>
      </c>
      <c r="AA42">
        <v>224527337</v>
      </c>
      <c r="AB42">
        <f t="shared" si="32"/>
        <v>222.54</v>
      </c>
      <c r="AC42">
        <f t="shared" si="58"/>
        <v>43.35</v>
      </c>
      <c r="AD42">
        <f>ROUND((((((ET42*1.25)*1.2))-(((EU42*1.25)*1.2)))+AE42),2)</f>
        <v>8.36</v>
      </c>
      <c r="AE42">
        <f>ROUND((((EU42*1.25)*1.2)),2)</f>
        <v>1.61</v>
      </c>
      <c r="AF42">
        <f>ROUND((((EV42*1.15)*1.2)),2)</f>
        <v>170.83</v>
      </c>
      <c r="AG42">
        <f t="shared" si="35"/>
        <v>0</v>
      </c>
      <c r="AH42">
        <f>(((EW42*1.15)*1.2))</f>
        <v>19.043999999999997</v>
      </c>
      <c r="AI42">
        <f>(((EX42*1.25)*1.2))</f>
        <v>0.13499999999999998</v>
      </c>
      <c r="AJ42">
        <f t="shared" si="37"/>
        <v>0</v>
      </c>
      <c r="AK42">
        <v>172.71</v>
      </c>
      <c r="AL42">
        <v>43.35</v>
      </c>
      <c r="AM42">
        <v>5.57</v>
      </c>
      <c r="AN42">
        <v>1.07</v>
      </c>
      <c r="AO42">
        <v>123.79</v>
      </c>
      <c r="AP42">
        <v>0</v>
      </c>
      <c r="AQ42">
        <v>13.8</v>
      </c>
      <c r="AR42">
        <v>0.09</v>
      </c>
      <c r="AS42">
        <v>0</v>
      </c>
      <c r="AT42">
        <v>101</v>
      </c>
      <c r="AU42">
        <v>41.65</v>
      </c>
      <c r="AV42">
        <v>1</v>
      </c>
      <c r="AW42">
        <v>1</v>
      </c>
      <c r="AZ42">
        <v>1</v>
      </c>
      <c r="BA42">
        <v>1</v>
      </c>
      <c r="BB42">
        <v>1</v>
      </c>
      <c r="BC42">
        <v>1</v>
      </c>
      <c r="BD42" t="s">
        <v>2</v>
      </c>
      <c r="BE42" t="s">
        <v>2</v>
      </c>
      <c r="BF42" t="s">
        <v>2</v>
      </c>
      <c r="BG42" t="s">
        <v>2</v>
      </c>
      <c r="BH42">
        <v>0</v>
      </c>
      <c r="BI42">
        <v>1</v>
      </c>
      <c r="BJ42" t="s">
        <v>96</v>
      </c>
      <c r="BM42">
        <v>15001</v>
      </c>
      <c r="BN42">
        <v>0</v>
      </c>
      <c r="BO42" t="s">
        <v>2</v>
      </c>
      <c r="BP42">
        <v>0</v>
      </c>
      <c r="BQ42">
        <v>2</v>
      </c>
      <c r="BR42">
        <v>0</v>
      </c>
      <c r="BS42">
        <v>1</v>
      </c>
      <c r="BT42">
        <v>1</v>
      </c>
      <c r="BU42">
        <v>1</v>
      </c>
      <c r="BV42">
        <v>1</v>
      </c>
      <c r="BW42">
        <v>1</v>
      </c>
      <c r="BX42">
        <v>1</v>
      </c>
      <c r="BY42" t="s">
        <v>2</v>
      </c>
      <c r="BZ42">
        <v>101</v>
      </c>
      <c r="CA42">
        <v>49</v>
      </c>
      <c r="CE42">
        <v>0</v>
      </c>
      <c r="CF42">
        <v>0</v>
      </c>
      <c r="CG42">
        <v>0</v>
      </c>
      <c r="CM42">
        <v>0</v>
      </c>
      <c r="CN42" t="s">
        <v>799</v>
      </c>
      <c r="CO42">
        <v>0</v>
      </c>
      <c r="CP42">
        <f t="shared" si="38"/>
        <v>214</v>
      </c>
      <c r="CQ42">
        <f t="shared" si="39"/>
        <v>43.35</v>
      </c>
      <c r="CR42">
        <f t="shared" si="40"/>
        <v>8.36</v>
      </c>
      <c r="CS42">
        <f t="shared" si="41"/>
        <v>1.61</v>
      </c>
      <c r="CT42">
        <f t="shared" si="42"/>
        <v>170.83</v>
      </c>
      <c r="CU42">
        <f t="shared" si="43"/>
        <v>0</v>
      </c>
      <c r="CV42">
        <f t="shared" si="44"/>
        <v>19.043999999999997</v>
      </c>
      <c r="CW42">
        <f t="shared" si="45"/>
        <v>0.13499999999999998</v>
      </c>
      <c r="CX42">
        <f t="shared" si="46"/>
        <v>0</v>
      </c>
      <c r="CY42">
        <f t="shared" si="47"/>
        <v>167.66</v>
      </c>
      <c r="CZ42">
        <f t="shared" si="48"/>
        <v>69.138999999999996</v>
      </c>
      <c r="DC42" t="s">
        <v>2</v>
      </c>
      <c r="DD42" t="s">
        <v>2</v>
      </c>
      <c r="DE42" t="s">
        <v>65</v>
      </c>
      <c r="DF42" t="s">
        <v>65</v>
      </c>
      <c r="DG42" t="s">
        <v>85</v>
      </c>
      <c r="DH42" t="s">
        <v>2</v>
      </c>
      <c r="DI42" t="s">
        <v>85</v>
      </c>
      <c r="DJ42" t="s">
        <v>65</v>
      </c>
      <c r="DK42" t="s">
        <v>2</v>
      </c>
      <c r="DL42" t="s">
        <v>2</v>
      </c>
      <c r="DM42" t="s">
        <v>67</v>
      </c>
      <c r="DN42">
        <v>0</v>
      </c>
      <c r="DO42">
        <v>0</v>
      </c>
      <c r="DP42">
        <v>1</v>
      </c>
      <c r="DQ42">
        <v>1</v>
      </c>
      <c r="DU42">
        <v>1005</v>
      </c>
      <c r="DV42" t="s">
        <v>26</v>
      </c>
      <c r="DW42" t="s">
        <v>26</v>
      </c>
      <c r="DX42">
        <v>100</v>
      </c>
      <c r="DZ42" t="s">
        <v>2</v>
      </c>
      <c r="EA42" t="s">
        <v>2</v>
      </c>
      <c r="EB42" t="s">
        <v>2</v>
      </c>
      <c r="EC42" t="s">
        <v>2</v>
      </c>
      <c r="EE42">
        <v>222773592</v>
      </c>
      <c r="EF42">
        <v>2</v>
      </c>
      <c r="EG42" t="s">
        <v>47</v>
      </c>
      <c r="EH42">
        <v>15</v>
      </c>
      <c r="EI42" t="s">
        <v>48</v>
      </c>
      <c r="EJ42">
        <v>1</v>
      </c>
      <c r="EK42">
        <v>15001</v>
      </c>
      <c r="EL42" t="s">
        <v>48</v>
      </c>
      <c r="EM42" t="s">
        <v>49</v>
      </c>
      <c r="EN42" t="s">
        <v>2</v>
      </c>
      <c r="EO42" t="s">
        <v>86</v>
      </c>
      <c r="EQ42">
        <v>0</v>
      </c>
      <c r="ER42">
        <v>172.71</v>
      </c>
      <c r="ES42">
        <v>43.35</v>
      </c>
      <c r="ET42">
        <v>5.57</v>
      </c>
      <c r="EU42">
        <v>1.07</v>
      </c>
      <c r="EV42">
        <v>123.79</v>
      </c>
      <c r="EW42">
        <v>13.8</v>
      </c>
      <c r="EX42">
        <v>0.09</v>
      </c>
      <c r="EY42">
        <v>0</v>
      </c>
      <c r="FQ42">
        <v>0</v>
      </c>
      <c r="FR42">
        <f t="shared" si="49"/>
        <v>0</v>
      </c>
      <c r="FS42">
        <v>0</v>
      </c>
      <c r="FX42">
        <v>101</v>
      </c>
      <c r="FY42">
        <v>41.65</v>
      </c>
      <c r="GA42" t="s">
        <v>2</v>
      </c>
      <c r="GD42">
        <v>1</v>
      </c>
      <c r="GF42">
        <v>2092430954</v>
      </c>
      <c r="GG42">
        <v>2</v>
      </c>
      <c r="GH42">
        <v>1</v>
      </c>
      <c r="GI42">
        <v>-2</v>
      </c>
      <c r="GJ42">
        <v>0</v>
      </c>
      <c r="GK42">
        <v>0</v>
      </c>
      <c r="GL42">
        <f t="shared" si="50"/>
        <v>0</v>
      </c>
      <c r="GM42">
        <f t="shared" si="51"/>
        <v>451</v>
      </c>
      <c r="GN42">
        <f t="shared" si="52"/>
        <v>451</v>
      </c>
      <c r="GO42">
        <f t="shared" si="53"/>
        <v>0</v>
      </c>
      <c r="GP42">
        <f t="shared" si="54"/>
        <v>0</v>
      </c>
      <c r="GR42">
        <v>0</v>
      </c>
      <c r="GS42">
        <v>3</v>
      </c>
      <c r="GT42">
        <v>0</v>
      </c>
      <c r="GU42" t="s">
        <v>2</v>
      </c>
      <c r="GV42">
        <f t="shared" si="55"/>
        <v>0</v>
      </c>
      <c r="GW42">
        <v>1</v>
      </c>
      <c r="GX42">
        <f t="shared" si="56"/>
        <v>0</v>
      </c>
      <c r="HA42">
        <v>0</v>
      </c>
      <c r="HB42">
        <v>0</v>
      </c>
      <c r="HC42">
        <f t="shared" si="57"/>
        <v>0</v>
      </c>
      <c r="HE42" t="s">
        <v>2</v>
      </c>
      <c r="HF42" t="s">
        <v>2</v>
      </c>
      <c r="IK42">
        <v>0</v>
      </c>
    </row>
    <row r="43" spans="1:245" x14ac:dyDescent="0.2">
      <c r="A43">
        <v>17</v>
      </c>
      <c r="B43">
        <v>1</v>
      </c>
      <c r="E43" t="s">
        <v>97</v>
      </c>
      <c r="F43" t="s">
        <v>52</v>
      </c>
      <c r="G43" t="s">
        <v>53</v>
      </c>
      <c r="H43" t="s">
        <v>18</v>
      </c>
      <c r="I43">
        <f>ROUND(0.958*0.052,9)</f>
        <v>4.9815999999999999E-2</v>
      </c>
      <c r="J43">
        <v>0</v>
      </c>
      <c r="O43">
        <f t="shared" si="21"/>
        <v>739</v>
      </c>
      <c r="P43">
        <f t="shared" si="22"/>
        <v>739</v>
      </c>
      <c r="Q43">
        <f t="shared" si="23"/>
        <v>0</v>
      </c>
      <c r="R43">
        <f t="shared" si="24"/>
        <v>0</v>
      </c>
      <c r="S43">
        <f t="shared" si="25"/>
        <v>0</v>
      </c>
      <c r="T43">
        <f t="shared" si="26"/>
        <v>0</v>
      </c>
      <c r="U43">
        <f t="shared" si="27"/>
        <v>0</v>
      </c>
      <c r="V43">
        <f t="shared" si="28"/>
        <v>0</v>
      </c>
      <c r="W43">
        <f t="shared" si="29"/>
        <v>0</v>
      </c>
      <c r="X43">
        <f t="shared" si="30"/>
        <v>0</v>
      </c>
      <c r="Y43">
        <f t="shared" si="31"/>
        <v>0</v>
      </c>
      <c r="AA43">
        <v>224527337</v>
      </c>
      <c r="AB43">
        <f t="shared" si="32"/>
        <v>14837.58</v>
      </c>
      <c r="AC43">
        <f t="shared" si="58"/>
        <v>14837.58</v>
      </c>
      <c r="AD43">
        <f>ROUND((((ET43)-(EU43))+AE43),2)</f>
        <v>0</v>
      </c>
      <c r="AE43">
        <f>ROUND((EU43),2)</f>
        <v>0</v>
      </c>
      <c r="AF43">
        <f>ROUND((EV43),2)</f>
        <v>0</v>
      </c>
      <c r="AG43">
        <f t="shared" si="35"/>
        <v>0</v>
      </c>
      <c r="AH43">
        <f>(EW43)</f>
        <v>0</v>
      </c>
      <c r="AI43">
        <f>(EX43)</f>
        <v>0</v>
      </c>
      <c r="AJ43">
        <f t="shared" si="37"/>
        <v>0</v>
      </c>
      <c r="AK43">
        <v>14837.58</v>
      </c>
      <c r="AL43">
        <v>14837.58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1</v>
      </c>
      <c r="AW43">
        <v>1</v>
      </c>
      <c r="AZ43">
        <v>1</v>
      </c>
      <c r="BA43">
        <v>1</v>
      </c>
      <c r="BB43">
        <v>1</v>
      </c>
      <c r="BC43">
        <v>1</v>
      </c>
      <c r="BD43" t="s">
        <v>2</v>
      </c>
      <c r="BE43" t="s">
        <v>2</v>
      </c>
      <c r="BF43" t="s">
        <v>2</v>
      </c>
      <c r="BG43" t="s">
        <v>2</v>
      </c>
      <c r="BH43">
        <v>3</v>
      </c>
      <c r="BI43">
        <v>1</v>
      </c>
      <c r="BJ43" t="s">
        <v>54</v>
      </c>
      <c r="BM43">
        <v>500001</v>
      </c>
      <c r="BN43">
        <v>0</v>
      </c>
      <c r="BO43" t="s">
        <v>2</v>
      </c>
      <c r="BP43">
        <v>0</v>
      </c>
      <c r="BQ43">
        <v>8</v>
      </c>
      <c r="BR43">
        <v>0</v>
      </c>
      <c r="BS43">
        <v>1</v>
      </c>
      <c r="BT43">
        <v>1</v>
      </c>
      <c r="BU43">
        <v>1</v>
      </c>
      <c r="BV43">
        <v>1</v>
      </c>
      <c r="BW43">
        <v>1</v>
      </c>
      <c r="BX43">
        <v>1</v>
      </c>
      <c r="BY43" t="s">
        <v>2</v>
      </c>
      <c r="BZ43">
        <v>0</v>
      </c>
      <c r="CA43">
        <v>0</v>
      </c>
      <c r="CE43">
        <v>0</v>
      </c>
      <c r="CF43">
        <v>0</v>
      </c>
      <c r="CG43">
        <v>0</v>
      </c>
      <c r="CM43">
        <v>0</v>
      </c>
      <c r="CN43" t="s">
        <v>2</v>
      </c>
      <c r="CO43">
        <v>0</v>
      </c>
      <c r="CP43">
        <f t="shared" si="38"/>
        <v>739</v>
      </c>
      <c r="CQ43">
        <f t="shared" si="39"/>
        <v>14837.58</v>
      </c>
      <c r="CR43">
        <f t="shared" si="40"/>
        <v>0</v>
      </c>
      <c r="CS43">
        <f t="shared" si="41"/>
        <v>0</v>
      </c>
      <c r="CT43">
        <f t="shared" si="42"/>
        <v>0</v>
      </c>
      <c r="CU43">
        <f t="shared" si="43"/>
        <v>0</v>
      </c>
      <c r="CV43">
        <f t="shared" si="44"/>
        <v>0</v>
      </c>
      <c r="CW43">
        <f t="shared" si="45"/>
        <v>0</v>
      </c>
      <c r="CX43">
        <f t="shared" si="46"/>
        <v>0</v>
      </c>
      <c r="CY43">
        <f t="shared" si="47"/>
        <v>0</v>
      </c>
      <c r="CZ43">
        <f t="shared" si="48"/>
        <v>0</v>
      </c>
      <c r="DC43" t="s">
        <v>2</v>
      </c>
      <c r="DD43" t="s">
        <v>2</v>
      </c>
      <c r="DE43" t="s">
        <v>2</v>
      </c>
      <c r="DF43" t="s">
        <v>2</v>
      </c>
      <c r="DG43" t="s">
        <v>2</v>
      </c>
      <c r="DH43" t="s">
        <v>2</v>
      </c>
      <c r="DI43" t="s">
        <v>2</v>
      </c>
      <c r="DJ43" t="s">
        <v>2</v>
      </c>
      <c r="DK43" t="s">
        <v>2</v>
      </c>
      <c r="DL43" t="s">
        <v>2</v>
      </c>
      <c r="DM43" t="s">
        <v>2</v>
      </c>
      <c r="DN43">
        <v>0</v>
      </c>
      <c r="DO43">
        <v>0</v>
      </c>
      <c r="DP43">
        <v>1</v>
      </c>
      <c r="DQ43">
        <v>1</v>
      </c>
      <c r="DU43">
        <v>1009</v>
      </c>
      <c r="DV43" t="s">
        <v>18</v>
      </c>
      <c r="DW43" t="s">
        <v>18</v>
      </c>
      <c r="DX43">
        <v>1000</v>
      </c>
      <c r="DZ43" t="s">
        <v>2</v>
      </c>
      <c r="EA43" t="s">
        <v>2</v>
      </c>
      <c r="EB43" t="s">
        <v>2</v>
      </c>
      <c r="EC43" t="s">
        <v>2</v>
      </c>
      <c r="EE43">
        <v>222773498</v>
      </c>
      <c r="EF43">
        <v>8</v>
      </c>
      <c r="EG43" t="s">
        <v>35</v>
      </c>
      <c r="EH43">
        <v>0</v>
      </c>
      <c r="EI43" t="s">
        <v>2</v>
      </c>
      <c r="EJ43">
        <v>1</v>
      </c>
      <c r="EK43">
        <v>500001</v>
      </c>
      <c r="EL43" t="s">
        <v>36</v>
      </c>
      <c r="EM43" t="s">
        <v>37</v>
      </c>
      <c r="EN43" t="s">
        <v>2</v>
      </c>
      <c r="EO43" t="s">
        <v>2</v>
      </c>
      <c r="EQ43">
        <v>0</v>
      </c>
      <c r="ER43">
        <v>14837.58</v>
      </c>
      <c r="ES43">
        <v>14837.58</v>
      </c>
      <c r="ET43">
        <v>0</v>
      </c>
      <c r="EU43">
        <v>0</v>
      </c>
      <c r="EV43">
        <v>0</v>
      </c>
      <c r="EW43">
        <v>0</v>
      </c>
      <c r="EX43">
        <v>0</v>
      </c>
      <c r="EY43">
        <v>0</v>
      </c>
      <c r="FQ43">
        <v>0</v>
      </c>
      <c r="FR43">
        <f t="shared" si="49"/>
        <v>0</v>
      </c>
      <c r="FS43">
        <v>0</v>
      </c>
      <c r="FX43">
        <v>0</v>
      </c>
      <c r="FY43">
        <v>0</v>
      </c>
      <c r="GA43" t="s">
        <v>2</v>
      </c>
      <c r="GD43">
        <v>1</v>
      </c>
      <c r="GF43">
        <v>-1974147358</v>
      </c>
      <c r="GG43">
        <v>2</v>
      </c>
      <c r="GH43">
        <v>1</v>
      </c>
      <c r="GI43">
        <v>-2</v>
      </c>
      <c r="GJ43">
        <v>0</v>
      </c>
      <c r="GK43">
        <v>0</v>
      </c>
      <c r="GL43">
        <f t="shared" si="50"/>
        <v>0</v>
      </c>
      <c r="GM43">
        <f t="shared" si="51"/>
        <v>739</v>
      </c>
      <c r="GN43">
        <f t="shared" si="52"/>
        <v>739</v>
      </c>
      <c r="GO43">
        <f t="shared" si="53"/>
        <v>0</v>
      </c>
      <c r="GP43">
        <f t="shared" si="54"/>
        <v>0</v>
      </c>
      <c r="GR43">
        <v>0</v>
      </c>
      <c r="GS43">
        <v>3</v>
      </c>
      <c r="GT43">
        <v>0</v>
      </c>
      <c r="GU43" t="s">
        <v>2</v>
      </c>
      <c r="GV43">
        <f t="shared" si="55"/>
        <v>0</v>
      </c>
      <c r="GW43">
        <v>1</v>
      </c>
      <c r="GX43">
        <f t="shared" si="56"/>
        <v>0</v>
      </c>
      <c r="HA43">
        <v>0</v>
      </c>
      <c r="HB43">
        <v>0</v>
      </c>
      <c r="HC43">
        <f t="shared" si="57"/>
        <v>0</v>
      </c>
      <c r="HE43" t="s">
        <v>2</v>
      </c>
      <c r="HF43" t="s">
        <v>2</v>
      </c>
      <c r="IK43">
        <v>0</v>
      </c>
    </row>
    <row r="44" spans="1:245" x14ac:dyDescent="0.2">
      <c r="A44">
        <v>17</v>
      </c>
      <c r="B44">
        <v>1</v>
      </c>
      <c r="C44">
        <f>ROW(SmtRes!A52)</f>
        <v>52</v>
      </c>
      <c r="D44">
        <f>ROW(EtalonRes!A60)</f>
        <v>60</v>
      </c>
      <c r="E44" t="s">
        <v>98</v>
      </c>
      <c r="F44" t="s">
        <v>99</v>
      </c>
      <c r="G44" t="s">
        <v>100</v>
      </c>
      <c r="H44" t="s">
        <v>26</v>
      </c>
      <c r="I44">
        <f>ROUND((2*3.14*0.125*14.5)/100,3)</f>
        <v>0.114</v>
      </c>
      <c r="J44">
        <v>0</v>
      </c>
      <c r="O44">
        <f t="shared" si="21"/>
        <v>43</v>
      </c>
      <c r="P44">
        <f t="shared" si="22"/>
        <v>0</v>
      </c>
      <c r="Q44">
        <f t="shared" si="23"/>
        <v>3</v>
      </c>
      <c r="R44">
        <f t="shared" si="24"/>
        <v>1</v>
      </c>
      <c r="S44">
        <f t="shared" si="25"/>
        <v>40</v>
      </c>
      <c r="T44">
        <f t="shared" si="26"/>
        <v>0</v>
      </c>
      <c r="U44">
        <f t="shared" si="27"/>
        <v>4.6398000000000001</v>
      </c>
      <c r="V44">
        <f t="shared" si="28"/>
        <v>8.5500000000000007E-2</v>
      </c>
      <c r="W44">
        <f t="shared" si="29"/>
        <v>0</v>
      </c>
      <c r="X44">
        <f t="shared" si="30"/>
        <v>36</v>
      </c>
      <c r="Y44">
        <f t="shared" si="31"/>
        <v>18</v>
      </c>
      <c r="AA44">
        <v>224527337</v>
      </c>
      <c r="AB44">
        <f t="shared" si="32"/>
        <v>370.62</v>
      </c>
      <c r="AC44">
        <f t="shared" si="58"/>
        <v>0</v>
      </c>
      <c r="AD44">
        <f>ROUND((((ET44)-(EU44))+AE44),2)</f>
        <v>23.45</v>
      </c>
      <c r="AE44">
        <f>ROUND((EU44),2)</f>
        <v>10.130000000000001</v>
      </c>
      <c r="AF44">
        <f>ROUND(((EV44*1.1)),2)</f>
        <v>347.17</v>
      </c>
      <c r="AG44">
        <f t="shared" si="35"/>
        <v>0</v>
      </c>
      <c r="AH44">
        <f>((EW44*1.1))</f>
        <v>40.700000000000003</v>
      </c>
      <c r="AI44">
        <f>(EX44)</f>
        <v>0.75</v>
      </c>
      <c r="AJ44">
        <f t="shared" si="37"/>
        <v>0</v>
      </c>
      <c r="AK44">
        <v>339.06</v>
      </c>
      <c r="AL44">
        <v>0</v>
      </c>
      <c r="AM44">
        <v>23.45</v>
      </c>
      <c r="AN44">
        <v>10.130000000000001</v>
      </c>
      <c r="AO44">
        <v>315.61</v>
      </c>
      <c r="AP44">
        <v>0</v>
      </c>
      <c r="AQ44">
        <v>37</v>
      </c>
      <c r="AR44">
        <v>0.75</v>
      </c>
      <c r="AS44">
        <v>0</v>
      </c>
      <c r="AT44">
        <v>88</v>
      </c>
      <c r="AU44">
        <v>44</v>
      </c>
      <c r="AV44">
        <v>1</v>
      </c>
      <c r="AW44">
        <v>1</v>
      </c>
      <c r="AZ44">
        <v>1</v>
      </c>
      <c r="BA44">
        <v>1</v>
      </c>
      <c r="BB44">
        <v>1</v>
      </c>
      <c r="BC44">
        <v>1</v>
      </c>
      <c r="BD44" t="s">
        <v>2</v>
      </c>
      <c r="BE44" t="s">
        <v>2</v>
      </c>
      <c r="BF44" t="s">
        <v>2</v>
      </c>
      <c r="BG44" t="s">
        <v>2</v>
      </c>
      <c r="BH44">
        <v>0</v>
      </c>
      <c r="BI44">
        <v>1</v>
      </c>
      <c r="BJ44" t="s">
        <v>101</v>
      </c>
      <c r="BM44">
        <v>65005</v>
      </c>
      <c r="BN44">
        <v>0</v>
      </c>
      <c r="BO44" t="s">
        <v>2</v>
      </c>
      <c r="BP44">
        <v>0</v>
      </c>
      <c r="BQ44">
        <v>6</v>
      </c>
      <c r="BR44">
        <v>0</v>
      </c>
      <c r="BS44">
        <v>1</v>
      </c>
      <c r="BT44">
        <v>1</v>
      </c>
      <c r="BU44">
        <v>1</v>
      </c>
      <c r="BV44">
        <v>1</v>
      </c>
      <c r="BW44">
        <v>1</v>
      </c>
      <c r="BX44">
        <v>1</v>
      </c>
      <c r="BY44" t="s">
        <v>2</v>
      </c>
      <c r="BZ44">
        <v>88</v>
      </c>
      <c r="CA44">
        <v>44</v>
      </c>
      <c r="CE44">
        <v>0</v>
      </c>
      <c r="CF44">
        <v>0</v>
      </c>
      <c r="CG44">
        <v>0</v>
      </c>
      <c r="CM44">
        <v>0</v>
      </c>
      <c r="CN44" t="s">
        <v>102</v>
      </c>
      <c r="CO44">
        <v>0</v>
      </c>
      <c r="CP44">
        <f t="shared" si="38"/>
        <v>43</v>
      </c>
      <c r="CQ44">
        <f t="shared" si="39"/>
        <v>0</v>
      </c>
      <c r="CR44">
        <f t="shared" si="40"/>
        <v>23.45</v>
      </c>
      <c r="CS44">
        <f t="shared" si="41"/>
        <v>10.130000000000001</v>
      </c>
      <c r="CT44">
        <f t="shared" si="42"/>
        <v>347.17</v>
      </c>
      <c r="CU44">
        <f t="shared" si="43"/>
        <v>0</v>
      </c>
      <c r="CV44">
        <f t="shared" si="44"/>
        <v>40.700000000000003</v>
      </c>
      <c r="CW44">
        <f t="shared" si="45"/>
        <v>0.75</v>
      </c>
      <c r="CX44">
        <f t="shared" si="46"/>
        <v>0</v>
      </c>
      <c r="CY44">
        <f t="shared" si="47"/>
        <v>36.08</v>
      </c>
      <c r="CZ44">
        <f t="shared" si="48"/>
        <v>18.04</v>
      </c>
      <c r="DC44" t="s">
        <v>2</v>
      </c>
      <c r="DD44" t="s">
        <v>2</v>
      </c>
      <c r="DE44" t="s">
        <v>2</v>
      </c>
      <c r="DF44" t="s">
        <v>2</v>
      </c>
      <c r="DG44" t="s">
        <v>103</v>
      </c>
      <c r="DH44" t="s">
        <v>2</v>
      </c>
      <c r="DI44" t="s">
        <v>103</v>
      </c>
      <c r="DJ44" t="s">
        <v>2</v>
      </c>
      <c r="DK44" t="s">
        <v>2</v>
      </c>
      <c r="DL44" t="s">
        <v>2</v>
      </c>
      <c r="DM44" t="s">
        <v>2</v>
      </c>
      <c r="DN44">
        <v>0</v>
      </c>
      <c r="DO44">
        <v>0</v>
      </c>
      <c r="DP44">
        <v>1</v>
      </c>
      <c r="DQ44">
        <v>1</v>
      </c>
      <c r="DU44">
        <v>1005</v>
      </c>
      <c r="DV44" t="s">
        <v>26</v>
      </c>
      <c r="DW44" t="s">
        <v>26</v>
      </c>
      <c r="DX44">
        <v>100</v>
      </c>
      <c r="DZ44" t="s">
        <v>2</v>
      </c>
      <c r="EA44" t="s">
        <v>2</v>
      </c>
      <c r="EB44" t="s">
        <v>2</v>
      </c>
      <c r="EC44" t="s">
        <v>2</v>
      </c>
      <c r="EE44">
        <v>222773662</v>
      </c>
      <c r="EF44">
        <v>6</v>
      </c>
      <c r="EG44" t="s">
        <v>20</v>
      </c>
      <c r="EH44">
        <v>99</v>
      </c>
      <c r="EI44" t="s">
        <v>104</v>
      </c>
      <c r="EJ44">
        <v>1</v>
      </c>
      <c r="EK44">
        <v>65005</v>
      </c>
      <c r="EL44" t="s">
        <v>105</v>
      </c>
      <c r="EM44" t="s">
        <v>106</v>
      </c>
      <c r="EN44" t="s">
        <v>2</v>
      </c>
      <c r="EO44" t="s">
        <v>107</v>
      </c>
      <c r="EQ44">
        <v>768</v>
      </c>
      <c r="ER44">
        <v>339.06</v>
      </c>
      <c r="ES44">
        <v>0</v>
      </c>
      <c r="ET44">
        <v>23.45</v>
      </c>
      <c r="EU44">
        <v>10.130000000000001</v>
      </c>
      <c r="EV44">
        <v>315.61</v>
      </c>
      <c r="EW44">
        <v>37</v>
      </c>
      <c r="EX44">
        <v>0.75</v>
      </c>
      <c r="EY44">
        <v>0</v>
      </c>
      <c r="FQ44">
        <v>0</v>
      </c>
      <c r="FR44">
        <f t="shared" si="49"/>
        <v>0</v>
      </c>
      <c r="FS44">
        <v>0</v>
      </c>
      <c r="FX44">
        <v>88</v>
      </c>
      <c r="FY44">
        <v>44</v>
      </c>
      <c r="GA44" t="s">
        <v>2</v>
      </c>
      <c r="GD44">
        <v>1</v>
      </c>
      <c r="GF44">
        <v>-1212944280</v>
      </c>
      <c r="GG44">
        <v>2</v>
      </c>
      <c r="GH44">
        <v>1</v>
      </c>
      <c r="GI44">
        <v>-2</v>
      </c>
      <c r="GJ44">
        <v>0</v>
      </c>
      <c r="GK44">
        <v>0</v>
      </c>
      <c r="GL44">
        <f t="shared" si="50"/>
        <v>0</v>
      </c>
      <c r="GM44">
        <f t="shared" si="51"/>
        <v>97</v>
      </c>
      <c r="GN44">
        <f t="shared" si="52"/>
        <v>97</v>
      </c>
      <c r="GO44">
        <f t="shared" si="53"/>
        <v>0</v>
      </c>
      <c r="GP44">
        <f t="shared" si="54"/>
        <v>0</v>
      </c>
      <c r="GR44">
        <v>0</v>
      </c>
      <c r="GS44">
        <v>3</v>
      </c>
      <c r="GT44">
        <v>0</v>
      </c>
      <c r="GU44" t="s">
        <v>2</v>
      </c>
      <c r="GV44">
        <f t="shared" si="55"/>
        <v>0</v>
      </c>
      <c r="GW44">
        <v>1</v>
      </c>
      <c r="GX44">
        <f t="shared" si="56"/>
        <v>0</v>
      </c>
      <c r="HA44">
        <v>0</v>
      </c>
      <c r="HB44">
        <v>0</v>
      </c>
      <c r="HC44">
        <f t="shared" si="57"/>
        <v>0</v>
      </c>
      <c r="HE44" t="s">
        <v>2</v>
      </c>
      <c r="HF44" t="s">
        <v>2</v>
      </c>
      <c r="IK44">
        <v>0</v>
      </c>
    </row>
    <row r="45" spans="1:245" x14ac:dyDescent="0.2">
      <c r="A45">
        <v>17</v>
      </c>
      <c r="B45">
        <v>1</v>
      </c>
      <c r="C45">
        <f>ROW(SmtRes!A63)</f>
        <v>63</v>
      </c>
      <c r="D45">
        <f>ROW(EtalonRes!A77)</f>
        <v>77</v>
      </c>
      <c r="E45" t="s">
        <v>108</v>
      </c>
      <c r="F45" t="s">
        <v>109</v>
      </c>
      <c r="G45" t="s">
        <v>110</v>
      </c>
      <c r="H45" t="s">
        <v>26</v>
      </c>
      <c r="I45">
        <f>ROUND((2*3.14*0.125*14.5)/100,3)</f>
        <v>0.114</v>
      </c>
      <c r="J45">
        <v>0</v>
      </c>
      <c r="O45">
        <f t="shared" si="21"/>
        <v>303</v>
      </c>
      <c r="P45">
        <f t="shared" si="22"/>
        <v>50</v>
      </c>
      <c r="Q45">
        <f t="shared" si="23"/>
        <v>22</v>
      </c>
      <c r="R45">
        <f t="shared" si="24"/>
        <v>3</v>
      </c>
      <c r="S45">
        <f t="shared" si="25"/>
        <v>231</v>
      </c>
      <c r="T45">
        <f t="shared" si="26"/>
        <v>0</v>
      </c>
      <c r="U45">
        <f t="shared" si="27"/>
        <v>26.407735199999998</v>
      </c>
      <c r="V45">
        <f t="shared" si="28"/>
        <v>0.2223</v>
      </c>
      <c r="W45">
        <f t="shared" si="29"/>
        <v>0</v>
      </c>
      <c r="X45">
        <f t="shared" si="30"/>
        <v>285</v>
      </c>
      <c r="Y45">
        <f t="shared" si="31"/>
        <v>165</v>
      </c>
      <c r="AA45">
        <v>224527337</v>
      </c>
      <c r="AB45">
        <f t="shared" si="32"/>
        <v>2649.13</v>
      </c>
      <c r="AC45">
        <f t="shared" si="58"/>
        <v>434.65</v>
      </c>
      <c r="AD45">
        <f>ROUND((((((ET45*1.25)*1.2))-(((EU45*1.25)*1.2)))+AE45),2)</f>
        <v>189.88</v>
      </c>
      <c r="AE45">
        <f>ROUND((((EU45*1.25)*1.2)),2)</f>
        <v>24.11</v>
      </c>
      <c r="AF45">
        <f>ROUND((((EV45*1.15)*1.2)),2)</f>
        <v>2024.6</v>
      </c>
      <c r="AG45">
        <f t="shared" si="35"/>
        <v>0</v>
      </c>
      <c r="AH45">
        <f>(((EW45*1.15)*1.2))</f>
        <v>231.64679999999998</v>
      </c>
      <c r="AI45">
        <f>(((EX45*1.25)*1.2))</f>
        <v>1.95</v>
      </c>
      <c r="AJ45">
        <f t="shared" si="37"/>
        <v>0</v>
      </c>
      <c r="AK45">
        <v>2028.33</v>
      </c>
      <c r="AL45">
        <v>434.65</v>
      </c>
      <c r="AM45">
        <v>126.58</v>
      </c>
      <c r="AN45">
        <v>16.07</v>
      </c>
      <c r="AO45">
        <v>1467.1</v>
      </c>
      <c r="AP45">
        <v>0</v>
      </c>
      <c r="AQ45">
        <v>167.86</v>
      </c>
      <c r="AR45">
        <v>1.3</v>
      </c>
      <c r="AS45">
        <v>0</v>
      </c>
      <c r="AT45">
        <v>122</v>
      </c>
      <c r="AU45">
        <v>70.55</v>
      </c>
      <c r="AV45">
        <v>1</v>
      </c>
      <c r="AW45">
        <v>1</v>
      </c>
      <c r="AZ45">
        <v>1</v>
      </c>
      <c r="BA45">
        <v>1</v>
      </c>
      <c r="BB45">
        <v>1</v>
      </c>
      <c r="BC45">
        <v>1</v>
      </c>
      <c r="BD45" t="s">
        <v>2</v>
      </c>
      <c r="BE45" t="s">
        <v>2</v>
      </c>
      <c r="BF45" t="s">
        <v>2</v>
      </c>
      <c r="BG45" t="s">
        <v>2</v>
      </c>
      <c r="BH45">
        <v>0</v>
      </c>
      <c r="BI45">
        <v>1</v>
      </c>
      <c r="BJ45" t="s">
        <v>111</v>
      </c>
      <c r="BM45">
        <v>20001</v>
      </c>
      <c r="BN45">
        <v>0</v>
      </c>
      <c r="BO45" t="s">
        <v>2</v>
      </c>
      <c r="BP45">
        <v>0</v>
      </c>
      <c r="BQ45">
        <v>22</v>
      </c>
      <c r="BR45">
        <v>0</v>
      </c>
      <c r="BS45">
        <v>1</v>
      </c>
      <c r="BT45">
        <v>1</v>
      </c>
      <c r="BU45">
        <v>1</v>
      </c>
      <c r="BV45">
        <v>1</v>
      </c>
      <c r="BW45">
        <v>1</v>
      </c>
      <c r="BX45">
        <v>1</v>
      </c>
      <c r="BY45" t="s">
        <v>2</v>
      </c>
      <c r="BZ45">
        <v>122</v>
      </c>
      <c r="CA45">
        <v>83</v>
      </c>
      <c r="CE45">
        <v>0</v>
      </c>
      <c r="CF45">
        <v>0</v>
      </c>
      <c r="CG45">
        <v>0</v>
      </c>
      <c r="CM45">
        <v>0</v>
      </c>
      <c r="CN45" t="s">
        <v>799</v>
      </c>
      <c r="CO45">
        <v>0</v>
      </c>
      <c r="CP45">
        <f t="shared" si="38"/>
        <v>303</v>
      </c>
      <c r="CQ45">
        <f t="shared" si="39"/>
        <v>434.65</v>
      </c>
      <c r="CR45">
        <f t="shared" si="40"/>
        <v>189.88</v>
      </c>
      <c r="CS45">
        <f t="shared" si="41"/>
        <v>24.11</v>
      </c>
      <c r="CT45">
        <f t="shared" si="42"/>
        <v>2024.6</v>
      </c>
      <c r="CU45">
        <f t="shared" si="43"/>
        <v>0</v>
      </c>
      <c r="CV45">
        <f t="shared" si="44"/>
        <v>231.64679999999998</v>
      </c>
      <c r="CW45">
        <f t="shared" si="45"/>
        <v>1.95</v>
      </c>
      <c r="CX45">
        <f t="shared" si="46"/>
        <v>0</v>
      </c>
      <c r="CY45">
        <f t="shared" si="47"/>
        <v>285.48</v>
      </c>
      <c r="CZ45">
        <f t="shared" si="48"/>
        <v>165.08700000000002</v>
      </c>
      <c r="DC45" t="s">
        <v>2</v>
      </c>
      <c r="DD45" t="s">
        <v>2</v>
      </c>
      <c r="DE45" t="s">
        <v>65</v>
      </c>
      <c r="DF45" t="s">
        <v>65</v>
      </c>
      <c r="DG45" t="s">
        <v>85</v>
      </c>
      <c r="DH45" t="s">
        <v>2</v>
      </c>
      <c r="DI45" t="s">
        <v>85</v>
      </c>
      <c r="DJ45" t="s">
        <v>65</v>
      </c>
      <c r="DK45" t="s">
        <v>2</v>
      </c>
      <c r="DL45" t="s">
        <v>2</v>
      </c>
      <c r="DM45" t="s">
        <v>67</v>
      </c>
      <c r="DN45">
        <v>0</v>
      </c>
      <c r="DO45">
        <v>0</v>
      </c>
      <c r="DP45">
        <v>1</v>
      </c>
      <c r="DQ45">
        <v>1</v>
      </c>
      <c r="DU45">
        <v>1005</v>
      </c>
      <c r="DV45" t="s">
        <v>26</v>
      </c>
      <c r="DW45" t="s">
        <v>26</v>
      </c>
      <c r="DX45">
        <v>100</v>
      </c>
      <c r="DZ45" t="s">
        <v>2</v>
      </c>
      <c r="EA45" t="s">
        <v>2</v>
      </c>
      <c r="EB45" t="s">
        <v>2</v>
      </c>
      <c r="EC45" t="s">
        <v>2</v>
      </c>
      <c r="EE45">
        <v>222773597</v>
      </c>
      <c r="EF45">
        <v>22</v>
      </c>
      <c r="EG45" t="s">
        <v>112</v>
      </c>
      <c r="EH45">
        <v>16</v>
      </c>
      <c r="EI45" t="s">
        <v>113</v>
      </c>
      <c r="EJ45">
        <v>1</v>
      </c>
      <c r="EK45">
        <v>20001</v>
      </c>
      <c r="EL45" t="s">
        <v>114</v>
      </c>
      <c r="EM45" t="s">
        <v>115</v>
      </c>
      <c r="EN45" t="s">
        <v>2</v>
      </c>
      <c r="EO45" t="s">
        <v>86</v>
      </c>
      <c r="EQ45">
        <v>768</v>
      </c>
      <c r="ER45">
        <v>2028.33</v>
      </c>
      <c r="ES45">
        <v>434.65</v>
      </c>
      <c r="ET45">
        <v>126.58</v>
      </c>
      <c r="EU45">
        <v>16.07</v>
      </c>
      <c r="EV45">
        <v>1467.1</v>
      </c>
      <c r="EW45">
        <v>167.86</v>
      </c>
      <c r="EX45">
        <v>1.3</v>
      </c>
      <c r="EY45">
        <v>0</v>
      </c>
      <c r="FQ45">
        <v>0</v>
      </c>
      <c r="FR45">
        <f t="shared" si="49"/>
        <v>0</v>
      </c>
      <c r="FS45">
        <v>0</v>
      </c>
      <c r="FX45">
        <v>122</v>
      </c>
      <c r="FY45">
        <v>70.55</v>
      </c>
      <c r="GA45" t="s">
        <v>2</v>
      </c>
      <c r="GD45">
        <v>1</v>
      </c>
      <c r="GF45">
        <v>-1647575030</v>
      </c>
      <c r="GG45">
        <v>2</v>
      </c>
      <c r="GH45">
        <v>1</v>
      </c>
      <c r="GI45">
        <v>-2</v>
      </c>
      <c r="GJ45">
        <v>0</v>
      </c>
      <c r="GK45">
        <v>0</v>
      </c>
      <c r="GL45">
        <f t="shared" si="50"/>
        <v>0</v>
      </c>
      <c r="GM45">
        <f t="shared" si="51"/>
        <v>753</v>
      </c>
      <c r="GN45">
        <f t="shared" si="52"/>
        <v>753</v>
      </c>
      <c r="GO45">
        <f t="shared" si="53"/>
        <v>0</v>
      </c>
      <c r="GP45">
        <f t="shared" si="54"/>
        <v>0</v>
      </c>
      <c r="GR45">
        <v>0</v>
      </c>
      <c r="GS45">
        <v>3</v>
      </c>
      <c r="GT45">
        <v>0</v>
      </c>
      <c r="GU45" t="s">
        <v>2</v>
      </c>
      <c r="GV45">
        <f t="shared" si="55"/>
        <v>0</v>
      </c>
      <c r="GW45">
        <v>1</v>
      </c>
      <c r="GX45">
        <f t="shared" si="56"/>
        <v>0</v>
      </c>
      <c r="HA45">
        <v>0</v>
      </c>
      <c r="HB45">
        <v>0</v>
      </c>
      <c r="HC45">
        <f t="shared" si="57"/>
        <v>0</v>
      </c>
      <c r="HE45" t="s">
        <v>2</v>
      </c>
      <c r="HF45" t="s">
        <v>2</v>
      </c>
      <c r="IK45">
        <v>0</v>
      </c>
    </row>
    <row r="46" spans="1:245" x14ac:dyDescent="0.2">
      <c r="A46">
        <v>17</v>
      </c>
      <c r="B46">
        <v>1</v>
      </c>
      <c r="E46" t="s">
        <v>116</v>
      </c>
      <c r="F46" t="s">
        <v>117</v>
      </c>
      <c r="G46" t="s">
        <v>118</v>
      </c>
      <c r="H46" t="s">
        <v>73</v>
      </c>
      <c r="I46">
        <f>ROUND(11.775,9)</f>
        <v>11.775</v>
      </c>
      <c r="J46">
        <v>0</v>
      </c>
      <c r="O46">
        <f t="shared" si="21"/>
        <v>907</v>
      </c>
      <c r="P46">
        <f t="shared" si="22"/>
        <v>907</v>
      </c>
      <c r="Q46">
        <f t="shared" si="23"/>
        <v>0</v>
      </c>
      <c r="R46">
        <f t="shared" si="24"/>
        <v>0</v>
      </c>
      <c r="S46">
        <f t="shared" si="25"/>
        <v>0</v>
      </c>
      <c r="T46">
        <f t="shared" si="26"/>
        <v>0</v>
      </c>
      <c r="U46">
        <f t="shared" si="27"/>
        <v>0</v>
      </c>
      <c r="V46">
        <f t="shared" si="28"/>
        <v>0</v>
      </c>
      <c r="W46">
        <f t="shared" si="29"/>
        <v>0</v>
      </c>
      <c r="X46">
        <f t="shared" si="30"/>
        <v>0</v>
      </c>
      <c r="Y46">
        <f t="shared" si="31"/>
        <v>0</v>
      </c>
      <c r="AA46">
        <v>224527337</v>
      </c>
      <c r="AB46">
        <f t="shared" si="32"/>
        <v>76.989999999999995</v>
      </c>
      <c r="AC46">
        <f t="shared" si="58"/>
        <v>76.989999999999995</v>
      </c>
      <c r="AD46">
        <f>ROUND((((ET46)-(EU46))+AE46),2)</f>
        <v>0</v>
      </c>
      <c r="AE46">
        <f>ROUND((EU46),2)</f>
        <v>0</v>
      </c>
      <c r="AF46">
        <f>ROUND((EV46),2)</f>
        <v>0</v>
      </c>
      <c r="AG46">
        <f t="shared" si="35"/>
        <v>0</v>
      </c>
      <c r="AH46">
        <f>(EW46)</f>
        <v>0</v>
      </c>
      <c r="AI46">
        <f>(EX46)</f>
        <v>0</v>
      </c>
      <c r="AJ46">
        <f t="shared" si="37"/>
        <v>0</v>
      </c>
      <c r="AK46">
        <v>76.989999999999995</v>
      </c>
      <c r="AL46">
        <v>76.989999999999995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1</v>
      </c>
      <c r="AW46">
        <v>1</v>
      </c>
      <c r="AZ46">
        <v>1</v>
      </c>
      <c r="BA46">
        <v>1</v>
      </c>
      <c r="BB46">
        <v>1</v>
      </c>
      <c r="BC46">
        <v>1</v>
      </c>
      <c r="BD46" t="s">
        <v>2</v>
      </c>
      <c r="BE46" t="s">
        <v>2</v>
      </c>
      <c r="BF46" t="s">
        <v>2</v>
      </c>
      <c r="BG46" t="s">
        <v>2</v>
      </c>
      <c r="BH46">
        <v>3</v>
      </c>
      <c r="BI46">
        <v>1</v>
      </c>
      <c r="BJ46" t="s">
        <v>119</v>
      </c>
      <c r="BM46">
        <v>500001</v>
      </c>
      <c r="BN46">
        <v>0</v>
      </c>
      <c r="BO46" t="s">
        <v>2</v>
      </c>
      <c r="BP46">
        <v>0</v>
      </c>
      <c r="BQ46">
        <v>8</v>
      </c>
      <c r="BR46">
        <v>0</v>
      </c>
      <c r="BS46">
        <v>1</v>
      </c>
      <c r="BT46">
        <v>1</v>
      </c>
      <c r="BU46">
        <v>1</v>
      </c>
      <c r="BV46">
        <v>1</v>
      </c>
      <c r="BW46">
        <v>1</v>
      </c>
      <c r="BX46">
        <v>1</v>
      </c>
      <c r="BY46" t="s">
        <v>2</v>
      </c>
      <c r="BZ46">
        <v>0</v>
      </c>
      <c r="CA46">
        <v>0</v>
      </c>
      <c r="CE46">
        <v>0</v>
      </c>
      <c r="CF46">
        <v>0</v>
      </c>
      <c r="CG46">
        <v>0</v>
      </c>
      <c r="CM46">
        <v>0</v>
      </c>
      <c r="CN46" t="s">
        <v>2</v>
      </c>
      <c r="CO46">
        <v>0</v>
      </c>
      <c r="CP46">
        <f t="shared" si="38"/>
        <v>907</v>
      </c>
      <c r="CQ46">
        <f t="shared" si="39"/>
        <v>76.989999999999995</v>
      </c>
      <c r="CR46">
        <f t="shared" si="40"/>
        <v>0</v>
      </c>
      <c r="CS46">
        <f t="shared" si="41"/>
        <v>0</v>
      </c>
      <c r="CT46">
        <f t="shared" si="42"/>
        <v>0</v>
      </c>
      <c r="CU46">
        <f t="shared" si="43"/>
        <v>0</v>
      </c>
      <c r="CV46">
        <f t="shared" si="44"/>
        <v>0</v>
      </c>
      <c r="CW46">
        <f t="shared" si="45"/>
        <v>0</v>
      </c>
      <c r="CX46">
        <f t="shared" si="46"/>
        <v>0</v>
      </c>
      <c r="CY46">
        <f t="shared" si="47"/>
        <v>0</v>
      </c>
      <c r="CZ46">
        <f t="shared" si="48"/>
        <v>0</v>
      </c>
      <c r="DC46" t="s">
        <v>2</v>
      </c>
      <c r="DD46" t="s">
        <v>2</v>
      </c>
      <c r="DE46" t="s">
        <v>2</v>
      </c>
      <c r="DF46" t="s">
        <v>2</v>
      </c>
      <c r="DG46" t="s">
        <v>2</v>
      </c>
      <c r="DH46" t="s">
        <v>2</v>
      </c>
      <c r="DI46" t="s">
        <v>2</v>
      </c>
      <c r="DJ46" t="s">
        <v>2</v>
      </c>
      <c r="DK46" t="s">
        <v>2</v>
      </c>
      <c r="DL46" t="s">
        <v>2</v>
      </c>
      <c r="DM46" t="s">
        <v>2</v>
      </c>
      <c r="DN46">
        <v>0</v>
      </c>
      <c r="DO46">
        <v>0</v>
      </c>
      <c r="DP46">
        <v>1</v>
      </c>
      <c r="DQ46">
        <v>1</v>
      </c>
      <c r="DU46">
        <v>1005</v>
      </c>
      <c r="DV46" t="s">
        <v>73</v>
      </c>
      <c r="DW46" t="s">
        <v>73</v>
      </c>
      <c r="DX46">
        <v>1</v>
      </c>
      <c r="DZ46" t="s">
        <v>2</v>
      </c>
      <c r="EA46" t="s">
        <v>2</v>
      </c>
      <c r="EB46" t="s">
        <v>2</v>
      </c>
      <c r="EC46" t="s">
        <v>2</v>
      </c>
      <c r="EE46">
        <v>222773498</v>
      </c>
      <c r="EF46">
        <v>8</v>
      </c>
      <c r="EG46" t="s">
        <v>35</v>
      </c>
      <c r="EH46">
        <v>0</v>
      </c>
      <c r="EI46" t="s">
        <v>2</v>
      </c>
      <c r="EJ46">
        <v>1</v>
      </c>
      <c r="EK46">
        <v>500001</v>
      </c>
      <c r="EL46" t="s">
        <v>36</v>
      </c>
      <c r="EM46" t="s">
        <v>37</v>
      </c>
      <c r="EN46" t="s">
        <v>2</v>
      </c>
      <c r="EO46" t="s">
        <v>2</v>
      </c>
      <c r="EQ46">
        <v>0</v>
      </c>
      <c r="ER46">
        <v>76.989999999999995</v>
      </c>
      <c r="ES46">
        <v>76.989999999999995</v>
      </c>
      <c r="ET46">
        <v>0</v>
      </c>
      <c r="EU46">
        <v>0</v>
      </c>
      <c r="EV46">
        <v>0</v>
      </c>
      <c r="EW46">
        <v>0</v>
      </c>
      <c r="EX46">
        <v>0</v>
      </c>
      <c r="EY46">
        <v>0</v>
      </c>
      <c r="FQ46">
        <v>0</v>
      </c>
      <c r="FR46">
        <f t="shared" si="49"/>
        <v>0</v>
      </c>
      <c r="FS46">
        <v>0</v>
      </c>
      <c r="FX46">
        <v>0</v>
      </c>
      <c r="FY46">
        <v>0</v>
      </c>
      <c r="GA46" t="s">
        <v>2</v>
      </c>
      <c r="GD46">
        <v>1</v>
      </c>
      <c r="GF46">
        <v>-64045086</v>
      </c>
      <c r="GG46">
        <v>2</v>
      </c>
      <c r="GH46">
        <v>1</v>
      </c>
      <c r="GI46">
        <v>-2</v>
      </c>
      <c r="GJ46">
        <v>0</v>
      </c>
      <c r="GK46">
        <v>0</v>
      </c>
      <c r="GL46">
        <f t="shared" si="50"/>
        <v>0</v>
      </c>
      <c r="GM46">
        <f t="shared" si="51"/>
        <v>907</v>
      </c>
      <c r="GN46">
        <f t="shared" si="52"/>
        <v>907</v>
      </c>
      <c r="GO46">
        <f t="shared" si="53"/>
        <v>0</v>
      </c>
      <c r="GP46">
        <f t="shared" si="54"/>
        <v>0</v>
      </c>
      <c r="GR46">
        <v>0</v>
      </c>
      <c r="GS46">
        <v>3</v>
      </c>
      <c r="GT46">
        <v>0</v>
      </c>
      <c r="GU46" t="s">
        <v>2</v>
      </c>
      <c r="GV46">
        <f t="shared" si="55"/>
        <v>0</v>
      </c>
      <c r="GW46">
        <v>1</v>
      </c>
      <c r="GX46">
        <f t="shared" si="56"/>
        <v>0</v>
      </c>
      <c r="HA46">
        <v>0</v>
      </c>
      <c r="HB46">
        <v>0</v>
      </c>
      <c r="HC46">
        <f t="shared" si="57"/>
        <v>0</v>
      </c>
      <c r="HE46" t="s">
        <v>2</v>
      </c>
      <c r="HF46" t="s">
        <v>2</v>
      </c>
      <c r="IK46">
        <v>0</v>
      </c>
    </row>
    <row r="48" spans="1:245" x14ac:dyDescent="0.2">
      <c r="A48" s="2">
        <v>51</v>
      </c>
      <c r="B48" s="2">
        <f>B24</f>
        <v>1</v>
      </c>
      <c r="C48" s="2">
        <f>A24</f>
        <v>4</v>
      </c>
      <c r="D48" s="2">
        <f>ROW(A24)</f>
        <v>24</v>
      </c>
      <c r="E48" s="2"/>
      <c r="F48" s="2" t="str">
        <f>IF(F24&lt;&gt;"",F24,"")</f>
        <v>Новый раздел</v>
      </c>
      <c r="G48" s="2" t="str">
        <f>IF(G24&lt;&gt;"",G24,"")</f>
        <v>Кладовая</v>
      </c>
      <c r="H48" s="2">
        <v>0</v>
      </c>
      <c r="I48" s="2"/>
      <c r="J48" s="2"/>
      <c r="K48" s="2"/>
      <c r="L48" s="2"/>
      <c r="M48" s="2"/>
      <c r="N48" s="2"/>
      <c r="O48" s="2">
        <f t="shared" ref="O48:T48" si="61">ROUND(AB48,0)</f>
        <v>14478</v>
      </c>
      <c r="P48" s="2">
        <f t="shared" si="61"/>
        <v>13067</v>
      </c>
      <c r="Q48" s="2">
        <f t="shared" si="61"/>
        <v>98</v>
      </c>
      <c r="R48" s="2">
        <f t="shared" si="61"/>
        <v>30</v>
      </c>
      <c r="S48" s="2">
        <f t="shared" si="61"/>
        <v>1313</v>
      </c>
      <c r="T48" s="2">
        <f t="shared" si="61"/>
        <v>0</v>
      </c>
      <c r="U48" s="2">
        <f>AH48</f>
        <v>153.18743039999998</v>
      </c>
      <c r="V48" s="2">
        <f>AI48</f>
        <v>2.5946199999999999</v>
      </c>
      <c r="W48" s="2">
        <f>ROUND(AJ48,0)</f>
        <v>0</v>
      </c>
      <c r="X48" s="2">
        <f>ROUND(AK48,0)</f>
        <v>1374</v>
      </c>
      <c r="Y48" s="2">
        <f>ROUND(AL48,0)</f>
        <v>686</v>
      </c>
      <c r="Z48" s="2"/>
      <c r="AA48" s="2"/>
      <c r="AB48" s="2">
        <f>ROUND(SUMIF(AA28:AA46,"=224527337",O28:O46),0)</f>
        <v>14478</v>
      </c>
      <c r="AC48" s="2">
        <f>ROUND(SUMIF(AA28:AA46,"=224527337",P28:P46),0)</f>
        <v>13067</v>
      </c>
      <c r="AD48" s="2">
        <f>ROUND(SUMIF(AA28:AA46,"=224527337",Q28:Q46),0)</f>
        <v>98</v>
      </c>
      <c r="AE48" s="2">
        <f>ROUND(SUMIF(AA28:AA46,"=224527337",R28:R46),0)</f>
        <v>30</v>
      </c>
      <c r="AF48" s="2">
        <f>ROUND(SUMIF(AA28:AA46,"=224527337",S28:S46),0)</f>
        <v>1313</v>
      </c>
      <c r="AG48" s="2">
        <f>ROUND(SUMIF(AA28:AA46,"=224527337",T28:T46),0)</f>
        <v>0</v>
      </c>
      <c r="AH48" s="2">
        <f>SUMIF(AA28:AA46,"=224527337",U28:U46)</f>
        <v>153.18743039999998</v>
      </c>
      <c r="AI48" s="2">
        <f>SUMIF(AA28:AA46,"=224527337",V28:V46)</f>
        <v>2.5946199999999999</v>
      </c>
      <c r="AJ48" s="2">
        <f>ROUND(SUMIF(AA28:AA46,"=224527337",W28:W46),0)</f>
        <v>0</v>
      </c>
      <c r="AK48" s="2">
        <f>ROUND(SUMIF(AA28:AA46,"=224527337",X28:X46),0)</f>
        <v>1374</v>
      </c>
      <c r="AL48" s="2">
        <f>ROUND(SUMIF(AA28:AA46,"=224527337",Y28:Y46),0)</f>
        <v>686</v>
      </c>
      <c r="AM48" s="2"/>
      <c r="AN48" s="2"/>
      <c r="AO48" s="2">
        <f t="shared" ref="AO48:BD48" si="62">ROUND(BX48,0)</f>
        <v>0</v>
      </c>
      <c r="AP48" s="2">
        <f t="shared" si="62"/>
        <v>0</v>
      </c>
      <c r="AQ48" s="2">
        <f t="shared" si="62"/>
        <v>0</v>
      </c>
      <c r="AR48" s="2">
        <f t="shared" si="62"/>
        <v>16538</v>
      </c>
      <c r="AS48" s="2">
        <f t="shared" si="62"/>
        <v>16538</v>
      </c>
      <c r="AT48" s="2">
        <f t="shared" si="62"/>
        <v>0</v>
      </c>
      <c r="AU48" s="2">
        <f t="shared" si="62"/>
        <v>0</v>
      </c>
      <c r="AV48" s="2">
        <f t="shared" si="62"/>
        <v>13067</v>
      </c>
      <c r="AW48" s="2">
        <f t="shared" si="62"/>
        <v>13067</v>
      </c>
      <c r="AX48" s="2">
        <f t="shared" si="62"/>
        <v>0</v>
      </c>
      <c r="AY48" s="2">
        <f t="shared" si="62"/>
        <v>13067</v>
      </c>
      <c r="AZ48" s="2">
        <f t="shared" si="62"/>
        <v>0</v>
      </c>
      <c r="BA48" s="2">
        <f t="shared" si="62"/>
        <v>0</v>
      </c>
      <c r="BB48" s="2">
        <f t="shared" si="62"/>
        <v>0</v>
      </c>
      <c r="BC48" s="2">
        <f t="shared" si="62"/>
        <v>0</v>
      </c>
      <c r="BD48" s="2">
        <f t="shared" si="62"/>
        <v>0</v>
      </c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>
        <f>ROUND(SUMIF(AA28:AA46,"=224527337",FQ28:FQ46),0)</f>
        <v>0</v>
      </c>
      <c r="BY48" s="2">
        <f>ROUND(SUMIF(AA28:AA46,"=224527337",FR28:FR46),0)</f>
        <v>0</v>
      </c>
      <c r="BZ48" s="2">
        <f>ROUND(SUMIF(AA28:AA46,"=224527337",GL28:GL46),0)</f>
        <v>0</v>
      </c>
      <c r="CA48" s="2">
        <f>ROUND(SUMIF(AA28:AA46,"=224527337",GM28:GM46),0)</f>
        <v>16538</v>
      </c>
      <c r="CB48" s="2">
        <f>ROUND(SUMIF(AA28:AA46,"=224527337",GN28:GN46),0)</f>
        <v>16538</v>
      </c>
      <c r="CC48" s="2">
        <f>ROUND(SUMIF(AA28:AA46,"=224527337",GO28:GO46),0)</f>
        <v>0</v>
      </c>
      <c r="CD48" s="2">
        <f>ROUND(SUMIF(AA28:AA46,"=224527337",GP28:GP46),0)</f>
        <v>0</v>
      </c>
      <c r="CE48" s="2">
        <f>AC48-BX48</f>
        <v>13067</v>
      </c>
      <c r="CF48" s="2">
        <f>AC48-BY48</f>
        <v>13067</v>
      </c>
      <c r="CG48" s="2">
        <f>BX48-BZ48</f>
        <v>0</v>
      </c>
      <c r="CH48" s="2">
        <f>AC48-BX48-BY48+BZ48</f>
        <v>13067</v>
      </c>
      <c r="CI48" s="2">
        <f>BY48-BZ48</f>
        <v>0</v>
      </c>
      <c r="CJ48" s="2">
        <f>ROUND(SUMIF(AA28:AA46,"=224527337",GX28:GX46),0)</f>
        <v>0</v>
      </c>
      <c r="CK48" s="2">
        <f>ROUND(SUMIF(AA28:AA46,"=224527337",GY28:GY46),0)</f>
        <v>0</v>
      </c>
      <c r="CL48" s="2">
        <f>ROUND(SUMIF(AA28:AA46,"=224527337",GZ28:GZ46),0)</f>
        <v>0</v>
      </c>
      <c r="CM48" s="2">
        <f>ROUND(SUMIF(AA28:AA46,"=224527337",HD28:HD46),0)</f>
        <v>0</v>
      </c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>
        <v>0</v>
      </c>
    </row>
    <row r="50" spans="1:23" x14ac:dyDescent="0.2">
      <c r="A50" s="4">
        <v>50</v>
      </c>
      <c r="B50" s="4">
        <v>0</v>
      </c>
      <c r="C50" s="4">
        <v>0</v>
      </c>
      <c r="D50" s="4">
        <v>1</v>
      </c>
      <c r="E50" s="4">
        <v>201</v>
      </c>
      <c r="F50" s="4">
        <f>ROUND(Source!O48,O50)</f>
        <v>14478</v>
      </c>
      <c r="G50" s="4" t="s">
        <v>120</v>
      </c>
      <c r="H50" s="4" t="s">
        <v>121</v>
      </c>
      <c r="I50" s="4"/>
      <c r="J50" s="4"/>
      <c r="K50" s="4">
        <v>201</v>
      </c>
      <c r="L50" s="4">
        <v>1</v>
      </c>
      <c r="M50" s="4">
        <v>3</v>
      </c>
      <c r="N50" s="4" t="s">
        <v>2</v>
      </c>
      <c r="O50" s="4">
        <v>0</v>
      </c>
      <c r="P50" s="4"/>
      <c r="Q50" s="4"/>
      <c r="R50" s="4"/>
      <c r="S50" s="4"/>
      <c r="T50" s="4"/>
      <c r="U50" s="4"/>
      <c r="V50" s="4"/>
      <c r="W50" s="4"/>
    </row>
    <row r="51" spans="1:23" x14ac:dyDescent="0.2">
      <c r="A51" s="4">
        <v>50</v>
      </c>
      <c r="B51" s="4">
        <v>0</v>
      </c>
      <c r="C51" s="4">
        <v>0</v>
      </c>
      <c r="D51" s="4">
        <v>1</v>
      </c>
      <c r="E51" s="4">
        <v>202</v>
      </c>
      <c r="F51" s="4">
        <f>ROUND(Source!P48,O51)</f>
        <v>13067</v>
      </c>
      <c r="G51" s="4" t="s">
        <v>122</v>
      </c>
      <c r="H51" s="4" t="s">
        <v>123</v>
      </c>
      <c r="I51" s="4"/>
      <c r="J51" s="4"/>
      <c r="K51" s="4">
        <v>202</v>
      </c>
      <c r="L51" s="4">
        <v>2</v>
      </c>
      <c r="M51" s="4">
        <v>3</v>
      </c>
      <c r="N51" s="4" t="s">
        <v>2</v>
      </c>
      <c r="O51" s="4">
        <v>0</v>
      </c>
      <c r="P51" s="4"/>
      <c r="Q51" s="4"/>
      <c r="R51" s="4"/>
      <c r="S51" s="4"/>
      <c r="T51" s="4"/>
      <c r="U51" s="4"/>
      <c r="V51" s="4"/>
      <c r="W51" s="4"/>
    </row>
    <row r="52" spans="1:23" x14ac:dyDescent="0.2">
      <c r="A52" s="4">
        <v>50</v>
      </c>
      <c r="B52" s="4">
        <v>0</v>
      </c>
      <c r="C52" s="4">
        <v>0</v>
      </c>
      <c r="D52" s="4">
        <v>1</v>
      </c>
      <c r="E52" s="4">
        <v>222</v>
      </c>
      <c r="F52" s="4">
        <f>ROUND(Source!AO48,O52)</f>
        <v>0</v>
      </c>
      <c r="G52" s="4" t="s">
        <v>124</v>
      </c>
      <c r="H52" s="4" t="s">
        <v>125</v>
      </c>
      <c r="I52" s="4"/>
      <c r="J52" s="4"/>
      <c r="K52" s="4">
        <v>222</v>
      </c>
      <c r="L52" s="4">
        <v>3</v>
      </c>
      <c r="M52" s="4">
        <v>3</v>
      </c>
      <c r="N52" s="4" t="s">
        <v>2</v>
      </c>
      <c r="O52" s="4">
        <v>0</v>
      </c>
      <c r="P52" s="4"/>
      <c r="Q52" s="4"/>
      <c r="R52" s="4"/>
      <c r="S52" s="4"/>
      <c r="T52" s="4"/>
      <c r="U52" s="4"/>
      <c r="V52" s="4"/>
      <c r="W52" s="4"/>
    </row>
    <row r="53" spans="1:23" x14ac:dyDescent="0.2">
      <c r="A53" s="4">
        <v>50</v>
      </c>
      <c r="B53" s="4">
        <v>0</v>
      </c>
      <c r="C53" s="4">
        <v>0</v>
      </c>
      <c r="D53" s="4">
        <v>1</v>
      </c>
      <c r="E53" s="4">
        <v>225</v>
      </c>
      <c r="F53" s="4">
        <f>ROUND(Source!AV48,O53)</f>
        <v>13067</v>
      </c>
      <c r="G53" s="4" t="s">
        <v>126</v>
      </c>
      <c r="H53" s="4" t="s">
        <v>127</v>
      </c>
      <c r="I53" s="4"/>
      <c r="J53" s="4"/>
      <c r="K53" s="4">
        <v>225</v>
      </c>
      <c r="L53" s="4">
        <v>4</v>
      </c>
      <c r="M53" s="4">
        <v>3</v>
      </c>
      <c r="N53" s="4" t="s">
        <v>2</v>
      </c>
      <c r="O53" s="4">
        <v>0</v>
      </c>
      <c r="P53" s="4"/>
      <c r="Q53" s="4"/>
      <c r="R53" s="4"/>
      <c r="S53" s="4"/>
      <c r="T53" s="4"/>
      <c r="U53" s="4"/>
      <c r="V53" s="4"/>
      <c r="W53" s="4"/>
    </row>
    <row r="54" spans="1:23" x14ac:dyDescent="0.2">
      <c r="A54" s="4">
        <v>50</v>
      </c>
      <c r="B54" s="4">
        <v>0</v>
      </c>
      <c r="C54" s="4">
        <v>0</v>
      </c>
      <c r="D54" s="4">
        <v>1</v>
      </c>
      <c r="E54" s="4">
        <v>226</v>
      </c>
      <c r="F54" s="4">
        <f>ROUND(Source!AW48,O54)</f>
        <v>13067</v>
      </c>
      <c r="G54" s="4" t="s">
        <v>128</v>
      </c>
      <c r="H54" s="4" t="s">
        <v>129</v>
      </c>
      <c r="I54" s="4"/>
      <c r="J54" s="4"/>
      <c r="K54" s="4">
        <v>226</v>
      </c>
      <c r="L54" s="4">
        <v>5</v>
      </c>
      <c r="M54" s="4">
        <v>3</v>
      </c>
      <c r="N54" s="4" t="s">
        <v>2</v>
      </c>
      <c r="O54" s="4">
        <v>0</v>
      </c>
      <c r="P54" s="4"/>
      <c r="Q54" s="4"/>
      <c r="R54" s="4"/>
      <c r="S54" s="4"/>
      <c r="T54" s="4"/>
      <c r="U54" s="4"/>
      <c r="V54" s="4"/>
      <c r="W54" s="4"/>
    </row>
    <row r="55" spans="1:23" x14ac:dyDescent="0.2">
      <c r="A55" s="4">
        <v>50</v>
      </c>
      <c r="B55" s="4">
        <v>0</v>
      </c>
      <c r="C55" s="4">
        <v>0</v>
      </c>
      <c r="D55" s="4">
        <v>1</v>
      </c>
      <c r="E55" s="4">
        <v>227</v>
      </c>
      <c r="F55" s="4">
        <f>ROUND(Source!AX48,O55)</f>
        <v>0</v>
      </c>
      <c r="G55" s="4" t="s">
        <v>130</v>
      </c>
      <c r="H55" s="4" t="s">
        <v>131</v>
      </c>
      <c r="I55" s="4"/>
      <c r="J55" s="4"/>
      <c r="K55" s="4">
        <v>227</v>
      </c>
      <c r="L55" s="4">
        <v>6</v>
      </c>
      <c r="M55" s="4">
        <v>3</v>
      </c>
      <c r="N55" s="4" t="s">
        <v>2</v>
      </c>
      <c r="O55" s="4">
        <v>0</v>
      </c>
      <c r="P55" s="4"/>
      <c r="Q55" s="4"/>
      <c r="R55" s="4"/>
      <c r="S55" s="4"/>
      <c r="T55" s="4"/>
      <c r="U55" s="4"/>
      <c r="V55" s="4"/>
      <c r="W55" s="4"/>
    </row>
    <row r="56" spans="1:23" x14ac:dyDescent="0.2">
      <c r="A56" s="4">
        <v>50</v>
      </c>
      <c r="B56" s="4">
        <v>0</v>
      </c>
      <c r="C56" s="4">
        <v>0</v>
      </c>
      <c r="D56" s="4">
        <v>1</v>
      </c>
      <c r="E56" s="4">
        <v>228</v>
      </c>
      <c r="F56" s="4">
        <f>ROUND(Source!AY48,O56)</f>
        <v>13067</v>
      </c>
      <c r="G56" s="4" t="s">
        <v>132</v>
      </c>
      <c r="H56" s="4" t="s">
        <v>133</v>
      </c>
      <c r="I56" s="4"/>
      <c r="J56" s="4"/>
      <c r="K56" s="4">
        <v>228</v>
      </c>
      <c r="L56" s="4">
        <v>7</v>
      </c>
      <c r="M56" s="4">
        <v>3</v>
      </c>
      <c r="N56" s="4" t="s">
        <v>2</v>
      </c>
      <c r="O56" s="4">
        <v>0</v>
      </c>
      <c r="P56" s="4"/>
      <c r="Q56" s="4"/>
      <c r="R56" s="4"/>
      <c r="S56" s="4"/>
      <c r="T56" s="4"/>
      <c r="U56" s="4"/>
      <c r="V56" s="4"/>
      <c r="W56" s="4"/>
    </row>
    <row r="57" spans="1:23" x14ac:dyDescent="0.2">
      <c r="A57" s="4">
        <v>50</v>
      </c>
      <c r="B57" s="4">
        <v>0</v>
      </c>
      <c r="C57" s="4">
        <v>0</v>
      </c>
      <c r="D57" s="4">
        <v>1</v>
      </c>
      <c r="E57" s="4">
        <v>216</v>
      </c>
      <c r="F57" s="4">
        <f>ROUND(Source!AP48,O57)</f>
        <v>0</v>
      </c>
      <c r="G57" s="4" t="s">
        <v>134</v>
      </c>
      <c r="H57" s="4" t="s">
        <v>135</v>
      </c>
      <c r="I57" s="4"/>
      <c r="J57" s="4"/>
      <c r="K57" s="4">
        <v>216</v>
      </c>
      <c r="L57" s="4">
        <v>8</v>
      </c>
      <c r="M57" s="4">
        <v>3</v>
      </c>
      <c r="N57" s="4" t="s">
        <v>2</v>
      </c>
      <c r="O57" s="4">
        <v>0</v>
      </c>
      <c r="P57" s="4"/>
      <c r="Q57" s="4"/>
      <c r="R57" s="4"/>
      <c r="S57" s="4"/>
      <c r="T57" s="4"/>
      <c r="U57" s="4"/>
      <c r="V57" s="4"/>
      <c r="W57" s="4"/>
    </row>
    <row r="58" spans="1:23" x14ac:dyDescent="0.2">
      <c r="A58" s="4">
        <v>50</v>
      </c>
      <c r="B58" s="4">
        <v>0</v>
      </c>
      <c r="C58" s="4">
        <v>0</v>
      </c>
      <c r="D58" s="4">
        <v>1</v>
      </c>
      <c r="E58" s="4">
        <v>223</v>
      </c>
      <c r="F58" s="4">
        <f>ROUND(Source!AQ48,O58)</f>
        <v>0</v>
      </c>
      <c r="G58" s="4" t="s">
        <v>136</v>
      </c>
      <c r="H58" s="4" t="s">
        <v>137</v>
      </c>
      <c r="I58" s="4"/>
      <c r="J58" s="4"/>
      <c r="K58" s="4">
        <v>223</v>
      </c>
      <c r="L58" s="4">
        <v>9</v>
      </c>
      <c r="M58" s="4">
        <v>3</v>
      </c>
      <c r="N58" s="4" t="s">
        <v>2</v>
      </c>
      <c r="O58" s="4">
        <v>0</v>
      </c>
      <c r="P58" s="4"/>
      <c r="Q58" s="4"/>
      <c r="R58" s="4"/>
      <c r="S58" s="4"/>
      <c r="T58" s="4"/>
      <c r="U58" s="4"/>
      <c r="V58" s="4"/>
      <c r="W58" s="4"/>
    </row>
    <row r="59" spans="1:23" x14ac:dyDescent="0.2">
      <c r="A59" s="4">
        <v>50</v>
      </c>
      <c r="B59" s="4">
        <v>0</v>
      </c>
      <c r="C59" s="4">
        <v>0</v>
      </c>
      <c r="D59" s="4">
        <v>1</v>
      </c>
      <c r="E59" s="4">
        <v>229</v>
      </c>
      <c r="F59" s="4">
        <f>ROUND(Source!AZ48,O59)</f>
        <v>0</v>
      </c>
      <c r="G59" s="4" t="s">
        <v>138</v>
      </c>
      <c r="H59" s="4" t="s">
        <v>139</v>
      </c>
      <c r="I59" s="4"/>
      <c r="J59" s="4"/>
      <c r="K59" s="4">
        <v>229</v>
      </c>
      <c r="L59" s="4">
        <v>10</v>
      </c>
      <c r="M59" s="4">
        <v>3</v>
      </c>
      <c r="N59" s="4" t="s">
        <v>2</v>
      </c>
      <c r="O59" s="4">
        <v>0</v>
      </c>
      <c r="P59" s="4"/>
      <c r="Q59" s="4"/>
      <c r="R59" s="4"/>
      <c r="S59" s="4"/>
      <c r="T59" s="4"/>
      <c r="U59" s="4"/>
      <c r="V59" s="4"/>
      <c r="W59" s="4"/>
    </row>
    <row r="60" spans="1:23" x14ac:dyDescent="0.2">
      <c r="A60" s="4">
        <v>50</v>
      </c>
      <c r="B60" s="4">
        <v>0</v>
      </c>
      <c r="C60" s="4">
        <v>0</v>
      </c>
      <c r="D60" s="4">
        <v>1</v>
      </c>
      <c r="E60" s="4">
        <v>203</v>
      </c>
      <c r="F60" s="4">
        <f>ROUND(Source!Q48,O60)</f>
        <v>98</v>
      </c>
      <c r="G60" s="4" t="s">
        <v>140</v>
      </c>
      <c r="H60" s="4" t="s">
        <v>141</v>
      </c>
      <c r="I60" s="4"/>
      <c r="J60" s="4"/>
      <c r="K60" s="4">
        <v>203</v>
      </c>
      <c r="L60" s="4">
        <v>11</v>
      </c>
      <c r="M60" s="4">
        <v>3</v>
      </c>
      <c r="N60" s="4" t="s">
        <v>2</v>
      </c>
      <c r="O60" s="4">
        <v>0</v>
      </c>
      <c r="P60" s="4"/>
      <c r="Q60" s="4"/>
      <c r="R60" s="4"/>
      <c r="S60" s="4"/>
      <c r="T60" s="4"/>
      <c r="U60" s="4"/>
      <c r="V60" s="4"/>
      <c r="W60" s="4"/>
    </row>
    <row r="61" spans="1:23" x14ac:dyDescent="0.2">
      <c r="A61" s="4">
        <v>50</v>
      </c>
      <c r="B61" s="4">
        <v>0</v>
      </c>
      <c r="C61" s="4">
        <v>0</v>
      </c>
      <c r="D61" s="4">
        <v>1</v>
      </c>
      <c r="E61" s="4">
        <v>231</v>
      </c>
      <c r="F61" s="4">
        <f>ROUND(Source!BB48,O61)</f>
        <v>0</v>
      </c>
      <c r="G61" s="4" t="s">
        <v>142</v>
      </c>
      <c r="H61" s="4" t="s">
        <v>143</v>
      </c>
      <c r="I61" s="4"/>
      <c r="J61" s="4"/>
      <c r="K61" s="4">
        <v>231</v>
      </c>
      <c r="L61" s="4">
        <v>12</v>
      </c>
      <c r="M61" s="4">
        <v>3</v>
      </c>
      <c r="N61" s="4" t="s">
        <v>2</v>
      </c>
      <c r="O61" s="4">
        <v>0</v>
      </c>
      <c r="P61" s="4"/>
      <c r="Q61" s="4"/>
      <c r="R61" s="4"/>
      <c r="S61" s="4"/>
      <c r="T61" s="4"/>
      <c r="U61" s="4"/>
      <c r="V61" s="4"/>
      <c r="W61" s="4"/>
    </row>
    <row r="62" spans="1:23" x14ac:dyDescent="0.2">
      <c r="A62" s="4">
        <v>50</v>
      </c>
      <c r="B62" s="4">
        <v>0</v>
      </c>
      <c r="C62" s="4">
        <v>0</v>
      </c>
      <c r="D62" s="4">
        <v>1</v>
      </c>
      <c r="E62" s="4">
        <v>204</v>
      </c>
      <c r="F62" s="4">
        <f>ROUND(Source!R48,O62)</f>
        <v>30</v>
      </c>
      <c r="G62" s="4" t="s">
        <v>144</v>
      </c>
      <c r="H62" s="4" t="s">
        <v>145</v>
      </c>
      <c r="I62" s="4"/>
      <c r="J62" s="4"/>
      <c r="K62" s="4">
        <v>204</v>
      </c>
      <c r="L62" s="4">
        <v>13</v>
      </c>
      <c r="M62" s="4">
        <v>3</v>
      </c>
      <c r="N62" s="4" t="s">
        <v>2</v>
      </c>
      <c r="O62" s="4">
        <v>0</v>
      </c>
      <c r="P62" s="4"/>
      <c r="Q62" s="4"/>
      <c r="R62" s="4"/>
      <c r="S62" s="4"/>
      <c r="T62" s="4"/>
      <c r="U62" s="4"/>
      <c r="V62" s="4"/>
      <c r="W62" s="4"/>
    </row>
    <row r="63" spans="1:23" x14ac:dyDescent="0.2">
      <c r="A63" s="4">
        <v>50</v>
      </c>
      <c r="B63" s="4">
        <v>0</v>
      </c>
      <c r="C63" s="4">
        <v>0</v>
      </c>
      <c r="D63" s="4">
        <v>1</v>
      </c>
      <c r="E63" s="4">
        <v>205</v>
      </c>
      <c r="F63" s="4">
        <f>ROUND(Source!S48,O63)</f>
        <v>1313</v>
      </c>
      <c r="G63" s="4" t="s">
        <v>146</v>
      </c>
      <c r="H63" s="4" t="s">
        <v>147</v>
      </c>
      <c r="I63" s="4"/>
      <c r="J63" s="4"/>
      <c r="K63" s="4">
        <v>205</v>
      </c>
      <c r="L63" s="4">
        <v>14</v>
      </c>
      <c r="M63" s="4">
        <v>3</v>
      </c>
      <c r="N63" s="4" t="s">
        <v>2</v>
      </c>
      <c r="O63" s="4">
        <v>0</v>
      </c>
      <c r="P63" s="4"/>
      <c r="Q63" s="4"/>
      <c r="R63" s="4"/>
      <c r="S63" s="4"/>
      <c r="T63" s="4"/>
      <c r="U63" s="4"/>
      <c r="V63" s="4"/>
      <c r="W63" s="4"/>
    </row>
    <row r="64" spans="1:23" x14ac:dyDescent="0.2">
      <c r="A64" s="4">
        <v>50</v>
      </c>
      <c r="B64" s="4">
        <v>0</v>
      </c>
      <c r="C64" s="4">
        <v>0</v>
      </c>
      <c r="D64" s="4">
        <v>1</v>
      </c>
      <c r="E64" s="4">
        <v>232</v>
      </c>
      <c r="F64" s="4">
        <f>ROUND(Source!BC48,O64)</f>
        <v>0</v>
      </c>
      <c r="G64" s="4" t="s">
        <v>148</v>
      </c>
      <c r="H64" s="4" t="s">
        <v>149</v>
      </c>
      <c r="I64" s="4"/>
      <c r="J64" s="4"/>
      <c r="K64" s="4">
        <v>232</v>
      </c>
      <c r="L64" s="4">
        <v>15</v>
      </c>
      <c r="M64" s="4">
        <v>3</v>
      </c>
      <c r="N64" s="4" t="s">
        <v>2</v>
      </c>
      <c r="O64" s="4">
        <v>0</v>
      </c>
      <c r="P64" s="4"/>
      <c r="Q64" s="4"/>
      <c r="R64" s="4"/>
      <c r="S64" s="4"/>
      <c r="T64" s="4"/>
      <c r="U64" s="4"/>
      <c r="V64" s="4"/>
      <c r="W64" s="4"/>
    </row>
    <row r="65" spans="1:206" x14ac:dyDescent="0.2">
      <c r="A65" s="4">
        <v>50</v>
      </c>
      <c r="B65" s="4">
        <v>0</v>
      </c>
      <c r="C65" s="4">
        <v>0</v>
      </c>
      <c r="D65" s="4">
        <v>1</v>
      </c>
      <c r="E65" s="4">
        <v>214</v>
      </c>
      <c r="F65" s="4">
        <f>ROUND(Source!AS48,O65)</f>
        <v>16538</v>
      </c>
      <c r="G65" s="4" t="s">
        <v>150</v>
      </c>
      <c r="H65" s="4" t="s">
        <v>151</v>
      </c>
      <c r="I65" s="4"/>
      <c r="J65" s="4"/>
      <c r="K65" s="4">
        <v>214</v>
      </c>
      <c r="L65" s="4">
        <v>16</v>
      </c>
      <c r="M65" s="4">
        <v>3</v>
      </c>
      <c r="N65" s="4" t="s">
        <v>2</v>
      </c>
      <c r="O65" s="4">
        <v>0</v>
      </c>
      <c r="P65" s="4"/>
      <c r="Q65" s="4"/>
      <c r="R65" s="4"/>
      <c r="S65" s="4"/>
      <c r="T65" s="4"/>
      <c r="U65" s="4"/>
      <c r="V65" s="4"/>
      <c r="W65" s="4"/>
    </row>
    <row r="66" spans="1:206" x14ac:dyDescent="0.2">
      <c r="A66" s="4">
        <v>50</v>
      </c>
      <c r="B66" s="4">
        <v>0</v>
      </c>
      <c r="C66" s="4">
        <v>0</v>
      </c>
      <c r="D66" s="4">
        <v>1</v>
      </c>
      <c r="E66" s="4">
        <v>215</v>
      </c>
      <c r="F66" s="4">
        <f>ROUND(Source!AT48,O66)</f>
        <v>0</v>
      </c>
      <c r="G66" s="4" t="s">
        <v>152</v>
      </c>
      <c r="H66" s="4" t="s">
        <v>153</v>
      </c>
      <c r="I66" s="4"/>
      <c r="J66" s="4"/>
      <c r="K66" s="4">
        <v>215</v>
      </c>
      <c r="L66" s="4">
        <v>17</v>
      </c>
      <c r="M66" s="4">
        <v>3</v>
      </c>
      <c r="N66" s="4" t="s">
        <v>2</v>
      </c>
      <c r="O66" s="4">
        <v>0</v>
      </c>
      <c r="P66" s="4"/>
      <c r="Q66" s="4"/>
      <c r="R66" s="4"/>
      <c r="S66" s="4"/>
      <c r="T66" s="4"/>
      <c r="U66" s="4"/>
      <c r="V66" s="4"/>
      <c r="W66" s="4"/>
    </row>
    <row r="67" spans="1:206" x14ac:dyDescent="0.2">
      <c r="A67" s="4">
        <v>50</v>
      </c>
      <c r="B67" s="4">
        <v>0</v>
      </c>
      <c r="C67" s="4">
        <v>0</v>
      </c>
      <c r="D67" s="4">
        <v>1</v>
      </c>
      <c r="E67" s="4">
        <v>217</v>
      </c>
      <c r="F67" s="4">
        <f>ROUND(Source!AU48,O67)</f>
        <v>0</v>
      </c>
      <c r="G67" s="4" t="s">
        <v>154</v>
      </c>
      <c r="H67" s="4" t="s">
        <v>155</v>
      </c>
      <c r="I67" s="4"/>
      <c r="J67" s="4"/>
      <c r="K67" s="4">
        <v>217</v>
      </c>
      <c r="L67" s="4">
        <v>18</v>
      </c>
      <c r="M67" s="4">
        <v>3</v>
      </c>
      <c r="N67" s="4" t="s">
        <v>2</v>
      </c>
      <c r="O67" s="4">
        <v>0</v>
      </c>
      <c r="P67" s="4"/>
      <c r="Q67" s="4"/>
      <c r="R67" s="4"/>
      <c r="S67" s="4"/>
      <c r="T67" s="4"/>
      <c r="U67" s="4"/>
      <c r="V67" s="4"/>
      <c r="W67" s="4"/>
    </row>
    <row r="68" spans="1:206" x14ac:dyDescent="0.2">
      <c r="A68" s="4">
        <v>50</v>
      </c>
      <c r="B68" s="4">
        <v>0</v>
      </c>
      <c r="C68" s="4">
        <v>0</v>
      </c>
      <c r="D68" s="4">
        <v>1</v>
      </c>
      <c r="E68" s="4">
        <v>230</v>
      </c>
      <c r="F68" s="4">
        <f>ROUND(Source!BA48,O68)</f>
        <v>0</v>
      </c>
      <c r="G68" s="4" t="s">
        <v>156</v>
      </c>
      <c r="H68" s="4" t="s">
        <v>157</v>
      </c>
      <c r="I68" s="4"/>
      <c r="J68" s="4"/>
      <c r="K68" s="4">
        <v>230</v>
      </c>
      <c r="L68" s="4">
        <v>19</v>
      </c>
      <c r="M68" s="4">
        <v>3</v>
      </c>
      <c r="N68" s="4" t="s">
        <v>2</v>
      </c>
      <c r="O68" s="4">
        <v>0</v>
      </c>
      <c r="P68" s="4"/>
      <c r="Q68" s="4"/>
      <c r="R68" s="4"/>
      <c r="S68" s="4"/>
      <c r="T68" s="4"/>
      <c r="U68" s="4"/>
      <c r="V68" s="4"/>
      <c r="W68" s="4"/>
    </row>
    <row r="69" spans="1:206" x14ac:dyDescent="0.2">
      <c r="A69" s="4">
        <v>50</v>
      </c>
      <c r="B69" s="4">
        <v>0</v>
      </c>
      <c r="C69" s="4">
        <v>0</v>
      </c>
      <c r="D69" s="4">
        <v>1</v>
      </c>
      <c r="E69" s="4">
        <v>206</v>
      </c>
      <c r="F69" s="4">
        <f>ROUND(Source!T48,O69)</f>
        <v>0</v>
      </c>
      <c r="G69" s="4" t="s">
        <v>158</v>
      </c>
      <c r="H69" s="4" t="s">
        <v>159</v>
      </c>
      <c r="I69" s="4"/>
      <c r="J69" s="4"/>
      <c r="K69" s="4">
        <v>206</v>
      </c>
      <c r="L69" s="4">
        <v>20</v>
      </c>
      <c r="M69" s="4">
        <v>3</v>
      </c>
      <c r="N69" s="4" t="s">
        <v>2</v>
      </c>
      <c r="O69" s="4">
        <v>0</v>
      </c>
      <c r="P69" s="4"/>
      <c r="Q69" s="4"/>
      <c r="R69" s="4"/>
      <c r="S69" s="4"/>
      <c r="T69" s="4"/>
      <c r="U69" s="4"/>
      <c r="V69" s="4"/>
      <c r="W69" s="4"/>
    </row>
    <row r="70" spans="1:206" x14ac:dyDescent="0.2">
      <c r="A70" s="4">
        <v>50</v>
      </c>
      <c r="B70" s="4">
        <v>0</v>
      </c>
      <c r="C70" s="4">
        <v>0</v>
      </c>
      <c r="D70" s="4">
        <v>1</v>
      </c>
      <c r="E70" s="4">
        <v>207</v>
      </c>
      <c r="F70" s="4">
        <f>Source!U48</f>
        <v>153.18743039999998</v>
      </c>
      <c r="G70" s="4" t="s">
        <v>160</v>
      </c>
      <c r="H70" s="4" t="s">
        <v>161</v>
      </c>
      <c r="I70" s="4"/>
      <c r="J70" s="4"/>
      <c r="K70" s="4">
        <v>207</v>
      </c>
      <c r="L70" s="4">
        <v>21</v>
      </c>
      <c r="M70" s="4">
        <v>3</v>
      </c>
      <c r="N70" s="4" t="s">
        <v>2</v>
      </c>
      <c r="O70" s="4">
        <v>-1</v>
      </c>
      <c r="P70" s="4"/>
      <c r="Q70" s="4"/>
      <c r="R70" s="4"/>
      <c r="S70" s="4"/>
      <c r="T70" s="4"/>
      <c r="U70" s="4"/>
      <c r="V70" s="4"/>
      <c r="W70" s="4"/>
    </row>
    <row r="71" spans="1:206" x14ac:dyDescent="0.2">
      <c r="A71" s="4">
        <v>50</v>
      </c>
      <c r="B71" s="4">
        <v>0</v>
      </c>
      <c r="C71" s="4">
        <v>0</v>
      </c>
      <c r="D71" s="4">
        <v>1</v>
      </c>
      <c r="E71" s="4">
        <v>208</v>
      </c>
      <c r="F71" s="4">
        <f>Source!V48</f>
        <v>2.5946199999999999</v>
      </c>
      <c r="G71" s="4" t="s">
        <v>162</v>
      </c>
      <c r="H71" s="4" t="s">
        <v>163</v>
      </c>
      <c r="I71" s="4"/>
      <c r="J71" s="4"/>
      <c r="K71" s="4">
        <v>208</v>
      </c>
      <c r="L71" s="4">
        <v>22</v>
      </c>
      <c r="M71" s="4">
        <v>3</v>
      </c>
      <c r="N71" s="4" t="s">
        <v>2</v>
      </c>
      <c r="O71" s="4">
        <v>-1</v>
      </c>
      <c r="P71" s="4"/>
      <c r="Q71" s="4"/>
      <c r="R71" s="4"/>
      <c r="S71" s="4"/>
      <c r="T71" s="4"/>
      <c r="U71" s="4"/>
      <c r="V71" s="4"/>
      <c r="W71" s="4"/>
    </row>
    <row r="72" spans="1:206" x14ac:dyDescent="0.2">
      <c r="A72" s="4">
        <v>50</v>
      </c>
      <c r="B72" s="4">
        <v>0</v>
      </c>
      <c r="C72" s="4">
        <v>0</v>
      </c>
      <c r="D72" s="4">
        <v>1</v>
      </c>
      <c r="E72" s="4">
        <v>209</v>
      </c>
      <c r="F72" s="4">
        <f>ROUND(Source!W48,O72)</f>
        <v>0</v>
      </c>
      <c r="G72" s="4" t="s">
        <v>164</v>
      </c>
      <c r="H72" s="4" t="s">
        <v>165</v>
      </c>
      <c r="I72" s="4"/>
      <c r="J72" s="4"/>
      <c r="K72" s="4">
        <v>209</v>
      </c>
      <c r="L72" s="4">
        <v>23</v>
      </c>
      <c r="M72" s="4">
        <v>3</v>
      </c>
      <c r="N72" s="4" t="s">
        <v>2</v>
      </c>
      <c r="O72" s="4">
        <v>0</v>
      </c>
      <c r="P72" s="4"/>
      <c r="Q72" s="4"/>
      <c r="R72" s="4"/>
      <c r="S72" s="4"/>
      <c r="T72" s="4"/>
      <c r="U72" s="4"/>
      <c r="V72" s="4"/>
      <c r="W72" s="4"/>
    </row>
    <row r="73" spans="1:206" x14ac:dyDescent="0.2">
      <c r="A73" s="4">
        <v>50</v>
      </c>
      <c r="B73" s="4">
        <v>0</v>
      </c>
      <c r="C73" s="4">
        <v>0</v>
      </c>
      <c r="D73" s="4">
        <v>1</v>
      </c>
      <c r="E73" s="4">
        <v>233</v>
      </c>
      <c r="F73" s="4">
        <f>ROUND(Source!BD48,O73)</f>
        <v>0</v>
      </c>
      <c r="G73" s="4" t="s">
        <v>166</v>
      </c>
      <c r="H73" s="4" t="s">
        <v>167</v>
      </c>
      <c r="I73" s="4"/>
      <c r="J73" s="4"/>
      <c r="K73" s="4">
        <v>233</v>
      </c>
      <c r="L73" s="4">
        <v>24</v>
      </c>
      <c r="M73" s="4">
        <v>3</v>
      </c>
      <c r="N73" s="4" t="s">
        <v>2</v>
      </c>
      <c r="O73" s="4">
        <v>0</v>
      </c>
      <c r="P73" s="4"/>
      <c r="Q73" s="4"/>
      <c r="R73" s="4"/>
      <c r="S73" s="4"/>
      <c r="T73" s="4"/>
      <c r="U73" s="4"/>
      <c r="V73" s="4"/>
      <c r="W73" s="4"/>
    </row>
    <row r="74" spans="1:206" x14ac:dyDescent="0.2">
      <c r="A74" s="4">
        <v>50</v>
      </c>
      <c r="B74" s="4">
        <v>0</v>
      </c>
      <c r="C74" s="4">
        <v>0</v>
      </c>
      <c r="D74" s="4">
        <v>1</v>
      </c>
      <c r="E74" s="4">
        <v>210</v>
      </c>
      <c r="F74" s="4">
        <f>ROUND(Source!X48,O74)</f>
        <v>1374</v>
      </c>
      <c r="G74" s="4" t="s">
        <v>168</v>
      </c>
      <c r="H74" s="4" t="s">
        <v>169</v>
      </c>
      <c r="I74" s="4"/>
      <c r="J74" s="4"/>
      <c r="K74" s="4">
        <v>210</v>
      </c>
      <c r="L74" s="4">
        <v>25</v>
      </c>
      <c r="M74" s="4">
        <v>3</v>
      </c>
      <c r="N74" s="4" t="s">
        <v>2</v>
      </c>
      <c r="O74" s="4">
        <v>0</v>
      </c>
      <c r="P74" s="4"/>
      <c r="Q74" s="4"/>
      <c r="R74" s="4"/>
      <c r="S74" s="4"/>
      <c r="T74" s="4"/>
      <c r="U74" s="4"/>
      <c r="V74" s="4"/>
      <c r="W74" s="4"/>
    </row>
    <row r="75" spans="1:206" x14ac:dyDescent="0.2">
      <c r="A75" s="4">
        <v>50</v>
      </c>
      <c r="B75" s="4">
        <v>0</v>
      </c>
      <c r="C75" s="4">
        <v>0</v>
      </c>
      <c r="D75" s="4">
        <v>1</v>
      </c>
      <c r="E75" s="4">
        <v>211</v>
      </c>
      <c r="F75" s="4">
        <f>ROUND(Source!Y48,O75)</f>
        <v>686</v>
      </c>
      <c r="G75" s="4" t="s">
        <v>170</v>
      </c>
      <c r="H75" s="4" t="s">
        <v>171</v>
      </c>
      <c r="I75" s="4"/>
      <c r="J75" s="4"/>
      <c r="K75" s="4">
        <v>211</v>
      </c>
      <c r="L75" s="4">
        <v>26</v>
      </c>
      <c r="M75" s="4">
        <v>3</v>
      </c>
      <c r="N75" s="4" t="s">
        <v>2</v>
      </c>
      <c r="O75" s="4">
        <v>0</v>
      </c>
      <c r="P75" s="4"/>
      <c r="Q75" s="4"/>
      <c r="R75" s="4"/>
      <c r="S75" s="4"/>
      <c r="T75" s="4"/>
      <c r="U75" s="4"/>
      <c r="V75" s="4"/>
      <c r="W75" s="4"/>
    </row>
    <row r="76" spans="1:206" x14ac:dyDescent="0.2">
      <c r="A76" s="4">
        <v>50</v>
      </c>
      <c r="B76" s="4">
        <v>0</v>
      </c>
      <c r="C76" s="4">
        <v>0</v>
      </c>
      <c r="D76" s="4">
        <v>1</v>
      </c>
      <c r="E76" s="4">
        <v>224</v>
      </c>
      <c r="F76" s="4">
        <f>ROUND(Source!AR48,O76)</f>
        <v>16538</v>
      </c>
      <c r="G76" s="4" t="s">
        <v>172</v>
      </c>
      <c r="H76" s="4" t="s">
        <v>173</v>
      </c>
      <c r="I76" s="4"/>
      <c r="J76" s="4"/>
      <c r="K76" s="4">
        <v>224</v>
      </c>
      <c r="L76" s="4">
        <v>27</v>
      </c>
      <c r="M76" s="4">
        <v>3</v>
      </c>
      <c r="N76" s="4" t="s">
        <v>2</v>
      </c>
      <c r="O76" s="4">
        <v>0</v>
      </c>
      <c r="P76" s="4"/>
      <c r="Q76" s="4"/>
      <c r="R76" s="4"/>
      <c r="S76" s="4"/>
      <c r="T76" s="4"/>
      <c r="U76" s="4"/>
      <c r="V76" s="4"/>
      <c r="W76" s="4"/>
    </row>
    <row r="78" spans="1:206" x14ac:dyDescent="0.2">
      <c r="A78" s="1">
        <v>4</v>
      </c>
      <c r="B78" s="1">
        <v>1</v>
      </c>
      <c r="C78" s="1"/>
      <c r="D78" s="1">
        <f>ROW(A89)</f>
        <v>89</v>
      </c>
      <c r="E78" s="1"/>
      <c r="F78" s="1" t="s">
        <v>13</v>
      </c>
      <c r="G78" s="1" t="s">
        <v>174</v>
      </c>
      <c r="H78" s="1" t="s">
        <v>2</v>
      </c>
      <c r="I78" s="1">
        <v>0</v>
      </c>
      <c r="J78" s="1"/>
      <c r="K78" s="1">
        <v>0</v>
      </c>
      <c r="L78" s="1"/>
      <c r="M78" s="1" t="s">
        <v>2</v>
      </c>
      <c r="N78" s="1"/>
      <c r="O78" s="1"/>
      <c r="P78" s="1"/>
      <c r="Q78" s="1"/>
      <c r="R78" s="1"/>
      <c r="S78" s="1">
        <v>0</v>
      </c>
      <c r="T78" s="1"/>
      <c r="U78" s="1" t="s">
        <v>2</v>
      </c>
      <c r="V78" s="1">
        <v>0</v>
      </c>
      <c r="W78" s="1"/>
      <c r="X78" s="1"/>
      <c r="Y78" s="1"/>
      <c r="Z78" s="1"/>
      <c r="AA78" s="1"/>
      <c r="AB78" s="1" t="s">
        <v>2</v>
      </c>
      <c r="AC78" s="1" t="s">
        <v>2</v>
      </c>
      <c r="AD78" s="1" t="s">
        <v>2</v>
      </c>
      <c r="AE78" s="1" t="s">
        <v>2</v>
      </c>
      <c r="AF78" s="1" t="s">
        <v>2</v>
      </c>
      <c r="AG78" s="1" t="s">
        <v>2</v>
      </c>
      <c r="AH78" s="1"/>
      <c r="AI78" s="1"/>
      <c r="AJ78" s="1"/>
      <c r="AK78" s="1"/>
      <c r="AL78" s="1"/>
      <c r="AM78" s="1"/>
      <c r="AN78" s="1"/>
      <c r="AO78" s="1"/>
      <c r="AP78" s="1" t="s">
        <v>2</v>
      </c>
      <c r="AQ78" s="1" t="s">
        <v>2</v>
      </c>
      <c r="AR78" s="1" t="s">
        <v>2</v>
      </c>
      <c r="AS78" s="1"/>
      <c r="AT78" s="1"/>
      <c r="AU78" s="1"/>
      <c r="AV78" s="1"/>
      <c r="AW78" s="1"/>
      <c r="AX78" s="1"/>
      <c r="AY78" s="1"/>
      <c r="AZ78" s="1" t="s">
        <v>2</v>
      </c>
      <c r="BA78" s="1"/>
      <c r="BB78" s="1" t="s">
        <v>2</v>
      </c>
      <c r="BC78" s="1" t="s">
        <v>2</v>
      </c>
      <c r="BD78" s="1" t="s">
        <v>2</v>
      </c>
      <c r="BE78" s="1" t="s">
        <v>2</v>
      </c>
      <c r="BF78" s="1" t="s">
        <v>2</v>
      </c>
      <c r="BG78" s="1" t="s">
        <v>2</v>
      </c>
      <c r="BH78" s="1" t="s">
        <v>2</v>
      </c>
      <c r="BI78" s="1" t="s">
        <v>2</v>
      </c>
      <c r="BJ78" s="1" t="s">
        <v>2</v>
      </c>
      <c r="BK78" s="1" t="s">
        <v>2</v>
      </c>
      <c r="BL78" s="1" t="s">
        <v>2</v>
      </c>
      <c r="BM78" s="1" t="s">
        <v>2</v>
      </c>
      <c r="BN78" s="1" t="s">
        <v>2</v>
      </c>
      <c r="BO78" s="1" t="s">
        <v>2</v>
      </c>
      <c r="BP78" s="1" t="s">
        <v>2</v>
      </c>
      <c r="BQ78" s="1"/>
      <c r="BR78" s="1"/>
      <c r="BS78" s="1"/>
      <c r="BT78" s="1"/>
      <c r="BU78" s="1"/>
      <c r="BV78" s="1"/>
      <c r="BW78" s="1"/>
      <c r="BX78" s="1">
        <v>0</v>
      </c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>
        <v>0</v>
      </c>
    </row>
    <row r="80" spans="1:206" x14ac:dyDescent="0.2">
      <c r="A80" s="2">
        <v>52</v>
      </c>
      <c r="B80" s="2">
        <f t="shared" ref="B80:G80" si="63">B89</f>
        <v>1</v>
      </c>
      <c r="C80" s="2">
        <f t="shared" si="63"/>
        <v>4</v>
      </c>
      <c r="D80" s="2">
        <f t="shared" si="63"/>
        <v>78</v>
      </c>
      <c r="E80" s="2">
        <f t="shared" si="63"/>
        <v>0</v>
      </c>
      <c r="F80" s="2" t="str">
        <f t="shared" si="63"/>
        <v>Новый раздел</v>
      </c>
      <c r="G80" s="2" t="str">
        <f t="shared" si="63"/>
        <v>Помещение задвижек пожаротушения</v>
      </c>
      <c r="H80" s="2"/>
      <c r="I80" s="2"/>
      <c r="J80" s="2"/>
      <c r="K80" s="2"/>
      <c r="L80" s="2"/>
      <c r="M80" s="2"/>
      <c r="N80" s="2"/>
      <c r="O80" s="2">
        <f t="shared" ref="O80:AT80" si="64">O89</f>
        <v>942</v>
      </c>
      <c r="P80" s="2">
        <f t="shared" si="64"/>
        <v>696</v>
      </c>
      <c r="Q80" s="2">
        <f t="shared" si="64"/>
        <v>22</v>
      </c>
      <c r="R80" s="2">
        <f t="shared" si="64"/>
        <v>2</v>
      </c>
      <c r="S80" s="2">
        <f t="shared" si="64"/>
        <v>224</v>
      </c>
      <c r="T80" s="2">
        <f t="shared" si="64"/>
        <v>0</v>
      </c>
      <c r="U80" s="2">
        <f t="shared" si="64"/>
        <v>24.349685999999998</v>
      </c>
      <c r="V80" s="2">
        <f t="shared" si="64"/>
        <v>0.13410359999999999</v>
      </c>
      <c r="W80" s="2">
        <f t="shared" si="64"/>
        <v>0</v>
      </c>
      <c r="X80" s="2">
        <f t="shared" si="64"/>
        <v>234</v>
      </c>
      <c r="Y80" s="2">
        <f t="shared" si="64"/>
        <v>117</v>
      </c>
      <c r="Z80" s="2">
        <f t="shared" si="64"/>
        <v>0</v>
      </c>
      <c r="AA80" s="2">
        <f t="shared" si="64"/>
        <v>0</v>
      </c>
      <c r="AB80" s="2">
        <f t="shared" si="64"/>
        <v>942</v>
      </c>
      <c r="AC80" s="2">
        <f t="shared" si="64"/>
        <v>696</v>
      </c>
      <c r="AD80" s="2">
        <f t="shared" si="64"/>
        <v>22</v>
      </c>
      <c r="AE80" s="2">
        <f t="shared" si="64"/>
        <v>2</v>
      </c>
      <c r="AF80" s="2">
        <f t="shared" si="64"/>
        <v>224</v>
      </c>
      <c r="AG80" s="2">
        <f t="shared" si="64"/>
        <v>0</v>
      </c>
      <c r="AH80" s="2">
        <f t="shared" si="64"/>
        <v>24.349685999999998</v>
      </c>
      <c r="AI80" s="2">
        <f t="shared" si="64"/>
        <v>0.13410359999999999</v>
      </c>
      <c r="AJ80" s="2">
        <f t="shared" si="64"/>
        <v>0</v>
      </c>
      <c r="AK80" s="2">
        <f t="shared" si="64"/>
        <v>234</v>
      </c>
      <c r="AL80" s="2">
        <f t="shared" si="64"/>
        <v>117</v>
      </c>
      <c r="AM80" s="2">
        <f t="shared" si="64"/>
        <v>0</v>
      </c>
      <c r="AN80" s="2">
        <f t="shared" si="64"/>
        <v>0</v>
      </c>
      <c r="AO80" s="2">
        <f t="shared" si="64"/>
        <v>0</v>
      </c>
      <c r="AP80" s="2">
        <f t="shared" si="64"/>
        <v>0</v>
      </c>
      <c r="AQ80" s="2">
        <f t="shared" si="64"/>
        <v>0</v>
      </c>
      <c r="AR80" s="2">
        <f t="shared" si="64"/>
        <v>1293</v>
      </c>
      <c r="AS80" s="2">
        <f t="shared" si="64"/>
        <v>1293</v>
      </c>
      <c r="AT80" s="2">
        <f t="shared" si="64"/>
        <v>0</v>
      </c>
      <c r="AU80" s="2">
        <f t="shared" ref="AU80:BZ80" si="65">AU89</f>
        <v>0</v>
      </c>
      <c r="AV80" s="2">
        <f t="shared" si="65"/>
        <v>696</v>
      </c>
      <c r="AW80" s="2">
        <f t="shared" si="65"/>
        <v>696</v>
      </c>
      <c r="AX80" s="2">
        <f t="shared" si="65"/>
        <v>0</v>
      </c>
      <c r="AY80" s="2">
        <f t="shared" si="65"/>
        <v>696</v>
      </c>
      <c r="AZ80" s="2">
        <f t="shared" si="65"/>
        <v>0</v>
      </c>
      <c r="BA80" s="2">
        <f t="shared" si="65"/>
        <v>0</v>
      </c>
      <c r="BB80" s="2">
        <f t="shared" si="65"/>
        <v>0</v>
      </c>
      <c r="BC80" s="2">
        <f t="shared" si="65"/>
        <v>0</v>
      </c>
      <c r="BD80" s="2">
        <f t="shared" si="65"/>
        <v>0</v>
      </c>
      <c r="BE80" s="2">
        <f t="shared" si="65"/>
        <v>0</v>
      </c>
      <c r="BF80" s="2">
        <f t="shared" si="65"/>
        <v>0</v>
      </c>
      <c r="BG80" s="2">
        <f t="shared" si="65"/>
        <v>0</v>
      </c>
      <c r="BH80" s="2">
        <f t="shared" si="65"/>
        <v>0</v>
      </c>
      <c r="BI80" s="2">
        <f t="shared" si="65"/>
        <v>0</v>
      </c>
      <c r="BJ80" s="2">
        <f t="shared" si="65"/>
        <v>0</v>
      </c>
      <c r="BK80" s="2">
        <f t="shared" si="65"/>
        <v>0</v>
      </c>
      <c r="BL80" s="2">
        <f t="shared" si="65"/>
        <v>0</v>
      </c>
      <c r="BM80" s="2">
        <f t="shared" si="65"/>
        <v>0</v>
      </c>
      <c r="BN80" s="2">
        <f t="shared" si="65"/>
        <v>0</v>
      </c>
      <c r="BO80" s="2">
        <f t="shared" si="65"/>
        <v>0</v>
      </c>
      <c r="BP80" s="2">
        <f t="shared" si="65"/>
        <v>0</v>
      </c>
      <c r="BQ80" s="2">
        <f t="shared" si="65"/>
        <v>0</v>
      </c>
      <c r="BR80" s="2">
        <f t="shared" si="65"/>
        <v>0</v>
      </c>
      <c r="BS80" s="2">
        <f t="shared" si="65"/>
        <v>0</v>
      </c>
      <c r="BT80" s="2">
        <f t="shared" si="65"/>
        <v>0</v>
      </c>
      <c r="BU80" s="2">
        <f t="shared" si="65"/>
        <v>0</v>
      </c>
      <c r="BV80" s="2">
        <f t="shared" si="65"/>
        <v>0</v>
      </c>
      <c r="BW80" s="2">
        <f t="shared" si="65"/>
        <v>0</v>
      </c>
      <c r="BX80" s="2">
        <f t="shared" si="65"/>
        <v>0</v>
      </c>
      <c r="BY80" s="2">
        <f t="shared" si="65"/>
        <v>0</v>
      </c>
      <c r="BZ80" s="2">
        <f t="shared" si="65"/>
        <v>0</v>
      </c>
      <c r="CA80" s="2">
        <f t="shared" ref="CA80:DF80" si="66">CA89</f>
        <v>1293</v>
      </c>
      <c r="CB80" s="2">
        <f t="shared" si="66"/>
        <v>1293</v>
      </c>
      <c r="CC80" s="2">
        <f t="shared" si="66"/>
        <v>0</v>
      </c>
      <c r="CD80" s="2">
        <f t="shared" si="66"/>
        <v>0</v>
      </c>
      <c r="CE80" s="2">
        <f t="shared" si="66"/>
        <v>696</v>
      </c>
      <c r="CF80" s="2">
        <f t="shared" si="66"/>
        <v>696</v>
      </c>
      <c r="CG80" s="2">
        <f t="shared" si="66"/>
        <v>0</v>
      </c>
      <c r="CH80" s="2">
        <f t="shared" si="66"/>
        <v>696</v>
      </c>
      <c r="CI80" s="2">
        <f t="shared" si="66"/>
        <v>0</v>
      </c>
      <c r="CJ80" s="2">
        <f t="shared" si="66"/>
        <v>0</v>
      </c>
      <c r="CK80" s="2">
        <f t="shared" si="66"/>
        <v>0</v>
      </c>
      <c r="CL80" s="2">
        <f t="shared" si="66"/>
        <v>0</v>
      </c>
      <c r="CM80" s="2">
        <f t="shared" si="66"/>
        <v>0</v>
      </c>
      <c r="CN80" s="2">
        <f t="shared" si="66"/>
        <v>0</v>
      </c>
      <c r="CO80" s="2">
        <f t="shared" si="66"/>
        <v>0</v>
      </c>
      <c r="CP80" s="2">
        <f t="shared" si="66"/>
        <v>0</v>
      </c>
      <c r="CQ80" s="2">
        <f t="shared" si="66"/>
        <v>0</v>
      </c>
      <c r="CR80" s="2">
        <f t="shared" si="66"/>
        <v>0</v>
      </c>
      <c r="CS80" s="2">
        <f t="shared" si="66"/>
        <v>0</v>
      </c>
      <c r="CT80" s="2">
        <f t="shared" si="66"/>
        <v>0</v>
      </c>
      <c r="CU80" s="2">
        <f t="shared" si="66"/>
        <v>0</v>
      </c>
      <c r="CV80" s="2">
        <f t="shared" si="66"/>
        <v>0</v>
      </c>
      <c r="CW80" s="2">
        <f t="shared" si="66"/>
        <v>0</v>
      </c>
      <c r="CX80" s="2">
        <f t="shared" si="66"/>
        <v>0</v>
      </c>
      <c r="CY80" s="2">
        <f t="shared" si="66"/>
        <v>0</v>
      </c>
      <c r="CZ80" s="2">
        <f t="shared" si="66"/>
        <v>0</v>
      </c>
      <c r="DA80" s="2">
        <f t="shared" si="66"/>
        <v>0</v>
      </c>
      <c r="DB80" s="2">
        <f t="shared" si="66"/>
        <v>0</v>
      </c>
      <c r="DC80" s="2">
        <f t="shared" si="66"/>
        <v>0</v>
      </c>
      <c r="DD80" s="2">
        <f t="shared" si="66"/>
        <v>0</v>
      </c>
      <c r="DE80" s="2">
        <f t="shared" si="66"/>
        <v>0</v>
      </c>
      <c r="DF80" s="2">
        <f t="shared" si="66"/>
        <v>0</v>
      </c>
      <c r="DG80" s="3">
        <f t="shared" ref="DG80:EL80" si="67">DG89</f>
        <v>0</v>
      </c>
      <c r="DH80" s="3">
        <f t="shared" si="67"/>
        <v>0</v>
      </c>
      <c r="DI80" s="3">
        <f t="shared" si="67"/>
        <v>0</v>
      </c>
      <c r="DJ80" s="3">
        <f t="shared" si="67"/>
        <v>0</v>
      </c>
      <c r="DK80" s="3">
        <f t="shared" si="67"/>
        <v>0</v>
      </c>
      <c r="DL80" s="3">
        <f t="shared" si="67"/>
        <v>0</v>
      </c>
      <c r="DM80" s="3">
        <f t="shared" si="67"/>
        <v>0</v>
      </c>
      <c r="DN80" s="3">
        <f t="shared" si="67"/>
        <v>0</v>
      </c>
      <c r="DO80" s="3">
        <f t="shared" si="67"/>
        <v>0</v>
      </c>
      <c r="DP80" s="3">
        <f t="shared" si="67"/>
        <v>0</v>
      </c>
      <c r="DQ80" s="3">
        <f t="shared" si="67"/>
        <v>0</v>
      </c>
      <c r="DR80" s="3">
        <f t="shared" si="67"/>
        <v>0</v>
      </c>
      <c r="DS80" s="3">
        <f t="shared" si="67"/>
        <v>0</v>
      </c>
      <c r="DT80" s="3">
        <f t="shared" si="67"/>
        <v>0</v>
      </c>
      <c r="DU80" s="3">
        <f t="shared" si="67"/>
        <v>0</v>
      </c>
      <c r="DV80" s="3">
        <f t="shared" si="67"/>
        <v>0</v>
      </c>
      <c r="DW80" s="3">
        <f t="shared" si="67"/>
        <v>0</v>
      </c>
      <c r="DX80" s="3">
        <f t="shared" si="67"/>
        <v>0</v>
      </c>
      <c r="DY80" s="3">
        <f t="shared" si="67"/>
        <v>0</v>
      </c>
      <c r="DZ80" s="3">
        <f t="shared" si="67"/>
        <v>0</v>
      </c>
      <c r="EA80" s="3">
        <f t="shared" si="67"/>
        <v>0</v>
      </c>
      <c r="EB80" s="3">
        <f t="shared" si="67"/>
        <v>0</v>
      </c>
      <c r="EC80" s="3">
        <f t="shared" si="67"/>
        <v>0</v>
      </c>
      <c r="ED80" s="3">
        <f t="shared" si="67"/>
        <v>0</v>
      </c>
      <c r="EE80" s="3">
        <f t="shared" si="67"/>
        <v>0</v>
      </c>
      <c r="EF80" s="3">
        <f t="shared" si="67"/>
        <v>0</v>
      </c>
      <c r="EG80" s="3">
        <f t="shared" si="67"/>
        <v>0</v>
      </c>
      <c r="EH80" s="3">
        <f t="shared" si="67"/>
        <v>0</v>
      </c>
      <c r="EI80" s="3">
        <f t="shared" si="67"/>
        <v>0</v>
      </c>
      <c r="EJ80" s="3">
        <f t="shared" si="67"/>
        <v>0</v>
      </c>
      <c r="EK80" s="3">
        <f t="shared" si="67"/>
        <v>0</v>
      </c>
      <c r="EL80" s="3">
        <f t="shared" si="67"/>
        <v>0</v>
      </c>
      <c r="EM80" s="3">
        <f t="shared" ref="EM80:FR80" si="68">EM89</f>
        <v>0</v>
      </c>
      <c r="EN80" s="3">
        <f t="shared" si="68"/>
        <v>0</v>
      </c>
      <c r="EO80" s="3">
        <f t="shared" si="68"/>
        <v>0</v>
      </c>
      <c r="EP80" s="3">
        <f t="shared" si="68"/>
        <v>0</v>
      </c>
      <c r="EQ80" s="3">
        <f t="shared" si="68"/>
        <v>0</v>
      </c>
      <c r="ER80" s="3">
        <f t="shared" si="68"/>
        <v>0</v>
      </c>
      <c r="ES80" s="3">
        <f t="shared" si="68"/>
        <v>0</v>
      </c>
      <c r="ET80" s="3">
        <f t="shared" si="68"/>
        <v>0</v>
      </c>
      <c r="EU80" s="3">
        <f t="shared" si="68"/>
        <v>0</v>
      </c>
      <c r="EV80" s="3">
        <f t="shared" si="68"/>
        <v>0</v>
      </c>
      <c r="EW80" s="3">
        <f t="shared" si="68"/>
        <v>0</v>
      </c>
      <c r="EX80" s="3">
        <f t="shared" si="68"/>
        <v>0</v>
      </c>
      <c r="EY80" s="3">
        <f t="shared" si="68"/>
        <v>0</v>
      </c>
      <c r="EZ80" s="3">
        <f t="shared" si="68"/>
        <v>0</v>
      </c>
      <c r="FA80" s="3">
        <f t="shared" si="68"/>
        <v>0</v>
      </c>
      <c r="FB80" s="3">
        <f t="shared" si="68"/>
        <v>0</v>
      </c>
      <c r="FC80" s="3">
        <f t="shared" si="68"/>
        <v>0</v>
      </c>
      <c r="FD80" s="3">
        <f t="shared" si="68"/>
        <v>0</v>
      </c>
      <c r="FE80" s="3">
        <f t="shared" si="68"/>
        <v>0</v>
      </c>
      <c r="FF80" s="3">
        <f t="shared" si="68"/>
        <v>0</v>
      </c>
      <c r="FG80" s="3">
        <f t="shared" si="68"/>
        <v>0</v>
      </c>
      <c r="FH80" s="3">
        <f t="shared" si="68"/>
        <v>0</v>
      </c>
      <c r="FI80" s="3">
        <f t="shared" si="68"/>
        <v>0</v>
      </c>
      <c r="FJ80" s="3">
        <f t="shared" si="68"/>
        <v>0</v>
      </c>
      <c r="FK80" s="3">
        <f t="shared" si="68"/>
        <v>0</v>
      </c>
      <c r="FL80" s="3">
        <f t="shared" si="68"/>
        <v>0</v>
      </c>
      <c r="FM80" s="3">
        <f t="shared" si="68"/>
        <v>0</v>
      </c>
      <c r="FN80" s="3">
        <f t="shared" si="68"/>
        <v>0</v>
      </c>
      <c r="FO80" s="3">
        <f t="shared" si="68"/>
        <v>0</v>
      </c>
      <c r="FP80" s="3">
        <f t="shared" si="68"/>
        <v>0</v>
      </c>
      <c r="FQ80" s="3">
        <f t="shared" si="68"/>
        <v>0</v>
      </c>
      <c r="FR80" s="3">
        <f t="shared" si="68"/>
        <v>0</v>
      </c>
      <c r="FS80" s="3">
        <f t="shared" ref="FS80:GX80" si="69">FS89</f>
        <v>0</v>
      </c>
      <c r="FT80" s="3">
        <f t="shared" si="69"/>
        <v>0</v>
      </c>
      <c r="FU80" s="3">
        <f t="shared" si="69"/>
        <v>0</v>
      </c>
      <c r="FV80" s="3">
        <f t="shared" si="69"/>
        <v>0</v>
      </c>
      <c r="FW80" s="3">
        <f t="shared" si="69"/>
        <v>0</v>
      </c>
      <c r="FX80" s="3">
        <f t="shared" si="69"/>
        <v>0</v>
      </c>
      <c r="FY80" s="3">
        <f t="shared" si="69"/>
        <v>0</v>
      </c>
      <c r="FZ80" s="3">
        <f t="shared" si="69"/>
        <v>0</v>
      </c>
      <c r="GA80" s="3">
        <f t="shared" si="69"/>
        <v>0</v>
      </c>
      <c r="GB80" s="3">
        <f t="shared" si="69"/>
        <v>0</v>
      </c>
      <c r="GC80" s="3">
        <f t="shared" si="69"/>
        <v>0</v>
      </c>
      <c r="GD80" s="3">
        <f t="shared" si="69"/>
        <v>0</v>
      </c>
      <c r="GE80" s="3">
        <f t="shared" si="69"/>
        <v>0</v>
      </c>
      <c r="GF80" s="3">
        <f t="shared" si="69"/>
        <v>0</v>
      </c>
      <c r="GG80" s="3">
        <f t="shared" si="69"/>
        <v>0</v>
      </c>
      <c r="GH80" s="3">
        <f t="shared" si="69"/>
        <v>0</v>
      </c>
      <c r="GI80" s="3">
        <f t="shared" si="69"/>
        <v>0</v>
      </c>
      <c r="GJ80" s="3">
        <f t="shared" si="69"/>
        <v>0</v>
      </c>
      <c r="GK80" s="3">
        <f t="shared" si="69"/>
        <v>0</v>
      </c>
      <c r="GL80" s="3">
        <f t="shared" si="69"/>
        <v>0</v>
      </c>
      <c r="GM80" s="3">
        <f t="shared" si="69"/>
        <v>0</v>
      </c>
      <c r="GN80" s="3">
        <f t="shared" si="69"/>
        <v>0</v>
      </c>
      <c r="GO80" s="3">
        <f t="shared" si="69"/>
        <v>0</v>
      </c>
      <c r="GP80" s="3">
        <f t="shared" si="69"/>
        <v>0</v>
      </c>
      <c r="GQ80" s="3">
        <f t="shared" si="69"/>
        <v>0</v>
      </c>
      <c r="GR80" s="3">
        <f t="shared" si="69"/>
        <v>0</v>
      </c>
      <c r="GS80" s="3">
        <f t="shared" si="69"/>
        <v>0</v>
      </c>
      <c r="GT80" s="3">
        <f t="shared" si="69"/>
        <v>0</v>
      </c>
      <c r="GU80" s="3">
        <f t="shared" si="69"/>
        <v>0</v>
      </c>
      <c r="GV80" s="3">
        <f t="shared" si="69"/>
        <v>0</v>
      </c>
      <c r="GW80" s="3">
        <f t="shared" si="69"/>
        <v>0</v>
      </c>
      <c r="GX80" s="3">
        <f t="shared" si="69"/>
        <v>0</v>
      </c>
    </row>
    <row r="82" spans="1:245" x14ac:dyDescent="0.2">
      <c r="A82">
        <v>17</v>
      </c>
      <c r="B82">
        <v>1</v>
      </c>
      <c r="C82">
        <f>ROW(SmtRes!A73)</f>
        <v>73</v>
      </c>
      <c r="D82">
        <f>ROW(EtalonRes!A88)</f>
        <v>88</v>
      </c>
      <c r="E82" t="s">
        <v>175</v>
      </c>
      <c r="F82" t="s">
        <v>176</v>
      </c>
      <c r="G82" t="s">
        <v>177</v>
      </c>
      <c r="H82" t="s">
        <v>26</v>
      </c>
      <c r="I82">
        <f>ROUND(14.4*1.6/100,9)</f>
        <v>0.23039999999999999</v>
      </c>
      <c r="J82">
        <v>0</v>
      </c>
      <c r="O82">
        <f t="shared" ref="O82:O87" si="70">ROUND(CP82,0)</f>
        <v>114</v>
      </c>
      <c r="P82">
        <f t="shared" ref="P82:P87" si="71">ROUND(CQ82*I82,0)</f>
        <v>43</v>
      </c>
      <c r="Q82">
        <f t="shared" ref="Q82:Q87" si="72">ROUND(CR82*I82,0)</f>
        <v>2</v>
      </c>
      <c r="R82">
        <f t="shared" ref="R82:R87" si="73">ROUND(CS82*I82,0)</f>
        <v>1</v>
      </c>
      <c r="S82">
        <f t="shared" ref="S82:S87" si="74">ROUND(CT82*I82,0)</f>
        <v>69</v>
      </c>
      <c r="T82">
        <f t="shared" ref="T82:T87" si="75">ROUND(CU82*I82,0)</f>
        <v>0</v>
      </c>
      <c r="U82">
        <f t="shared" ref="U82:U87" si="76">CV82*I82</f>
        <v>7.9752960000000002</v>
      </c>
      <c r="V82">
        <f t="shared" ref="V82:V87" si="77">CW82*I82</f>
        <v>4.2393599999999997E-2</v>
      </c>
      <c r="W82">
        <f t="shared" ref="W82:W87" si="78">ROUND(CX82*I82,0)</f>
        <v>0</v>
      </c>
      <c r="X82">
        <f t="shared" ref="X82:Y87" si="79">ROUND(CY82,0)</f>
        <v>64</v>
      </c>
      <c r="Y82">
        <f t="shared" si="79"/>
        <v>32</v>
      </c>
      <c r="AA82">
        <v>224527337</v>
      </c>
      <c r="AB82">
        <f t="shared" ref="AB82:AB87" si="80">ROUND((AC82+AD82+AF82),2)</f>
        <v>493.8</v>
      </c>
      <c r="AC82">
        <f t="shared" ref="AC82:AC87" si="81">ROUND((ES82),2)</f>
        <v>186.6</v>
      </c>
      <c r="AD82">
        <f>ROUND(((((ET82*1.15))-((EU82*1.15)))+AE82),2)</f>
        <v>8.1300000000000008</v>
      </c>
      <c r="AE82">
        <f>ROUND(((EU82*1.15)),2)</f>
        <v>2.36</v>
      </c>
      <c r="AF82">
        <f>ROUND(((EV82*1.15)),2)</f>
        <v>299.07</v>
      </c>
      <c r="AG82">
        <f t="shared" ref="AG82:AG87" si="82">ROUND((AP82),2)</f>
        <v>0</v>
      </c>
      <c r="AH82">
        <f>((EW82*1.15))</f>
        <v>34.615000000000002</v>
      </c>
      <c r="AI82">
        <f>((EX82*1.15))</f>
        <v>0.184</v>
      </c>
      <c r="AJ82">
        <f t="shared" ref="AJ82:AJ87" si="83">(AS82)</f>
        <v>0</v>
      </c>
      <c r="AK82">
        <v>453.73</v>
      </c>
      <c r="AL82">
        <v>186.6</v>
      </c>
      <c r="AM82">
        <v>7.07</v>
      </c>
      <c r="AN82">
        <v>2.0499999999999998</v>
      </c>
      <c r="AO82">
        <v>260.06</v>
      </c>
      <c r="AP82">
        <v>0</v>
      </c>
      <c r="AQ82">
        <v>30.1</v>
      </c>
      <c r="AR82">
        <v>0.16</v>
      </c>
      <c r="AS82">
        <v>0</v>
      </c>
      <c r="AT82">
        <v>91</v>
      </c>
      <c r="AU82">
        <v>46</v>
      </c>
      <c r="AV82">
        <v>1</v>
      </c>
      <c r="AW82">
        <v>1</v>
      </c>
      <c r="AZ82">
        <v>1</v>
      </c>
      <c r="BA82">
        <v>1</v>
      </c>
      <c r="BB82">
        <v>1</v>
      </c>
      <c r="BC82">
        <v>1</v>
      </c>
      <c r="BD82" t="s">
        <v>2</v>
      </c>
      <c r="BE82" t="s">
        <v>2</v>
      </c>
      <c r="BF82" t="s">
        <v>2</v>
      </c>
      <c r="BG82" t="s">
        <v>2</v>
      </c>
      <c r="BH82">
        <v>0</v>
      </c>
      <c r="BI82">
        <v>1</v>
      </c>
      <c r="BJ82" t="s">
        <v>178</v>
      </c>
      <c r="BM82">
        <v>62001</v>
      </c>
      <c r="BN82">
        <v>0</v>
      </c>
      <c r="BO82" t="s">
        <v>2</v>
      </c>
      <c r="BP82">
        <v>0</v>
      </c>
      <c r="BQ82">
        <v>6</v>
      </c>
      <c r="BR82">
        <v>0</v>
      </c>
      <c r="BS82">
        <v>1</v>
      </c>
      <c r="BT82">
        <v>1</v>
      </c>
      <c r="BU82">
        <v>1</v>
      </c>
      <c r="BV82">
        <v>1</v>
      </c>
      <c r="BW82">
        <v>1</v>
      </c>
      <c r="BX82">
        <v>1</v>
      </c>
      <c r="BY82" t="s">
        <v>2</v>
      </c>
      <c r="BZ82">
        <v>91</v>
      </c>
      <c r="CA82">
        <v>46</v>
      </c>
      <c r="CE82">
        <v>0</v>
      </c>
      <c r="CF82">
        <v>0</v>
      </c>
      <c r="CG82">
        <v>0</v>
      </c>
      <c r="CM82">
        <v>0</v>
      </c>
      <c r="CN82" t="s">
        <v>800</v>
      </c>
      <c r="CO82">
        <v>0</v>
      </c>
      <c r="CP82">
        <f t="shared" ref="CP82:CP87" si="84">(P82+Q82+S82)</f>
        <v>114</v>
      </c>
      <c r="CQ82">
        <f t="shared" ref="CQ82:CQ87" si="85">AC82*BC82</f>
        <v>186.6</v>
      </c>
      <c r="CR82">
        <f t="shared" ref="CR82:CR87" si="86">AD82*BB82</f>
        <v>8.1300000000000008</v>
      </c>
      <c r="CS82">
        <f t="shared" ref="CS82:CS87" si="87">AE82*BS82</f>
        <v>2.36</v>
      </c>
      <c r="CT82">
        <f t="shared" ref="CT82:CT87" si="88">AF82*BA82</f>
        <v>299.07</v>
      </c>
      <c r="CU82">
        <f t="shared" ref="CU82:CX87" si="89">AG82</f>
        <v>0</v>
      </c>
      <c r="CV82">
        <f t="shared" si="89"/>
        <v>34.615000000000002</v>
      </c>
      <c r="CW82">
        <f t="shared" si="89"/>
        <v>0.184</v>
      </c>
      <c r="CX82">
        <f t="shared" si="89"/>
        <v>0</v>
      </c>
      <c r="CY82">
        <f t="shared" ref="CY82:CY87" si="90">(((S82+R82)*AT82)/100)</f>
        <v>63.7</v>
      </c>
      <c r="CZ82">
        <f t="shared" ref="CZ82:CZ87" si="91">(((S82+R82)*AU82)/100)</f>
        <v>32.200000000000003</v>
      </c>
      <c r="DC82" t="s">
        <v>2</v>
      </c>
      <c r="DD82" t="s">
        <v>2</v>
      </c>
      <c r="DE82" t="s">
        <v>179</v>
      </c>
      <c r="DF82" t="s">
        <v>179</v>
      </c>
      <c r="DG82" t="s">
        <v>179</v>
      </c>
      <c r="DH82" t="s">
        <v>2</v>
      </c>
      <c r="DI82" t="s">
        <v>179</v>
      </c>
      <c r="DJ82" t="s">
        <v>179</v>
      </c>
      <c r="DK82" t="s">
        <v>2</v>
      </c>
      <c r="DL82" t="s">
        <v>2</v>
      </c>
      <c r="DM82" t="s">
        <v>2</v>
      </c>
      <c r="DN82">
        <v>0</v>
      </c>
      <c r="DO82">
        <v>0</v>
      </c>
      <c r="DP82">
        <v>1</v>
      </c>
      <c r="DQ82">
        <v>1</v>
      </c>
      <c r="DU82">
        <v>1005</v>
      </c>
      <c r="DV82" t="s">
        <v>26</v>
      </c>
      <c r="DW82" t="s">
        <v>26</v>
      </c>
      <c r="DX82">
        <v>100</v>
      </c>
      <c r="DZ82" t="s">
        <v>2</v>
      </c>
      <c r="EA82" t="s">
        <v>2</v>
      </c>
      <c r="EB82" t="s">
        <v>2</v>
      </c>
      <c r="EC82" t="s">
        <v>2</v>
      </c>
      <c r="EE82">
        <v>222773649</v>
      </c>
      <c r="EF82">
        <v>6</v>
      </c>
      <c r="EG82" t="s">
        <v>20</v>
      </c>
      <c r="EH82">
        <v>96</v>
      </c>
      <c r="EI82" t="s">
        <v>180</v>
      </c>
      <c r="EJ82">
        <v>1</v>
      </c>
      <c r="EK82">
        <v>62001</v>
      </c>
      <c r="EL82" t="s">
        <v>180</v>
      </c>
      <c r="EM82" t="s">
        <v>181</v>
      </c>
      <c r="EN82" t="s">
        <v>2</v>
      </c>
      <c r="EO82" t="s">
        <v>182</v>
      </c>
      <c r="EQ82">
        <v>768</v>
      </c>
      <c r="ER82">
        <v>453.73</v>
      </c>
      <c r="ES82">
        <v>186.6</v>
      </c>
      <c r="ET82">
        <v>7.07</v>
      </c>
      <c r="EU82">
        <v>2.0499999999999998</v>
      </c>
      <c r="EV82">
        <v>260.06</v>
      </c>
      <c r="EW82">
        <v>30.1</v>
      </c>
      <c r="EX82">
        <v>0.16</v>
      </c>
      <c r="EY82">
        <v>0</v>
      </c>
      <c r="FQ82">
        <v>0</v>
      </c>
      <c r="FR82">
        <f t="shared" ref="FR82:FR87" si="92">ROUND(IF(AND(BH82=3,BI82=3),P82,0),0)</f>
        <v>0</v>
      </c>
      <c r="FS82">
        <v>0</v>
      </c>
      <c r="FX82">
        <v>91</v>
      </c>
      <c r="FY82">
        <v>46</v>
      </c>
      <c r="GA82" t="s">
        <v>2</v>
      </c>
      <c r="GD82">
        <v>1</v>
      </c>
      <c r="GF82">
        <v>202943823</v>
      </c>
      <c r="GG82">
        <v>2</v>
      </c>
      <c r="GH82">
        <v>1</v>
      </c>
      <c r="GI82">
        <v>-2</v>
      </c>
      <c r="GJ82">
        <v>0</v>
      </c>
      <c r="GK82">
        <v>0</v>
      </c>
      <c r="GL82">
        <f t="shared" ref="GL82:GL87" si="93">ROUND(IF(AND(BH82=3,BI82=3,FS82&lt;&gt;0),P82,0),0)</f>
        <v>0</v>
      </c>
      <c r="GM82">
        <f t="shared" ref="GM82:GM87" si="94">ROUND(O82+X82+Y82,0)+GX82</f>
        <v>210</v>
      </c>
      <c r="GN82">
        <f t="shared" ref="GN82:GN87" si="95">IF(OR(BI82=0,BI82=1),ROUND(O82+X82+Y82,0),0)</f>
        <v>210</v>
      </c>
      <c r="GO82">
        <f t="shared" ref="GO82:GO87" si="96">IF(BI82=2,ROUND(O82+X82+Y82,0),0)</f>
        <v>0</v>
      </c>
      <c r="GP82">
        <f t="shared" ref="GP82:GP87" si="97">IF(BI82=4,ROUND(O82+X82+Y82,0)+GX82,0)</f>
        <v>0</v>
      </c>
      <c r="GR82">
        <v>0</v>
      </c>
      <c r="GS82">
        <v>3</v>
      </c>
      <c r="GT82">
        <v>0</v>
      </c>
      <c r="GU82" t="s">
        <v>2</v>
      </c>
      <c r="GV82">
        <f t="shared" ref="GV82:GV87" si="98">ROUND((GT82),2)</f>
        <v>0</v>
      </c>
      <c r="GW82">
        <v>1</v>
      </c>
      <c r="GX82">
        <f t="shared" ref="GX82:GX87" si="99">ROUND(HC82*I82,0)</f>
        <v>0</v>
      </c>
      <c r="HA82">
        <v>0</v>
      </c>
      <c r="HB82">
        <v>0</v>
      </c>
      <c r="HC82">
        <f t="shared" ref="HC82:HC87" si="100">GV82*GW82</f>
        <v>0</v>
      </c>
      <c r="HE82" t="s">
        <v>2</v>
      </c>
      <c r="HF82" t="s">
        <v>2</v>
      </c>
      <c r="IK82">
        <v>0</v>
      </c>
    </row>
    <row r="83" spans="1:245" x14ac:dyDescent="0.2">
      <c r="A83">
        <v>17</v>
      </c>
      <c r="B83">
        <v>1</v>
      </c>
      <c r="E83" t="s">
        <v>183</v>
      </c>
      <c r="F83" t="s">
        <v>52</v>
      </c>
      <c r="G83" t="s">
        <v>53</v>
      </c>
      <c r="H83" t="s">
        <v>18</v>
      </c>
      <c r="I83">
        <f>ROUND(0.2304*0.067,4)</f>
        <v>1.54E-2</v>
      </c>
      <c r="J83">
        <v>0</v>
      </c>
      <c r="O83">
        <f t="shared" si="70"/>
        <v>228</v>
      </c>
      <c r="P83">
        <f t="shared" si="71"/>
        <v>228</v>
      </c>
      <c r="Q83">
        <f t="shared" si="72"/>
        <v>0</v>
      </c>
      <c r="R83">
        <f t="shared" si="73"/>
        <v>0</v>
      </c>
      <c r="S83">
        <f t="shared" si="74"/>
        <v>0</v>
      </c>
      <c r="T83">
        <f t="shared" si="75"/>
        <v>0</v>
      </c>
      <c r="U83">
        <f t="shared" si="76"/>
        <v>0</v>
      </c>
      <c r="V83">
        <f t="shared" si="77"/>
        <v>0</v>
      </c>
      <c r="W83">
        <f t="shared" si="78"/>
        <v>0</v>
      </c>
      <c r="X83">
        <f t="shared" si="79"/>
        <v>0</v>
      </c>
      <c r="Y83">
        <f t="shared" si="79"/>
        <v>0</v>
      </c>
      <c r="AA83">
        <v>224527337</v>
      </c>
      <c r="AB83">
        <f t="shared" si="80"/>
        <v>14837.58</v>
      </c>
      <c r="AC83">
        <f t="shared" si="81"/>
        <v>14837.58</v>
      </c>
      <c r="AD83">
        <f>ROUND((((ET83)-(EU83))+AE83),2)</f>
        <v>0</v>
      </c>
      <c r="AE83">
        <f>ROUND((EU83),2)</f>
        <v>0</v>
      </c>
      <c r="AF83">
        <f>ROUND((EV83),2)</f>
        <v>0</v>
      </c>
      <c r="AG83">
        <f t="shared" si="82"/>
        <v>0</v>
      </c>
      <c r="AH83">
        <f>(EW83)</f>
        <v>0</v>
      </c>
      <c r="AI83">
        <f>(EX83)</f>
        <v>0</v>
      </c>
      <c r="AJ83">
        <f t="shared" si="83"/>
        <v>0</v>
      </c>
      <c r="AK83">
        <v>14837.58</v>
      </c>
      <c r="AL83">
        <v>14837.58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1</v>
      </c>
      <c r="AW83">
        <v>1</v>
      </c>
      <c r="AZ83">
        <v>1</v>
      </c>
      <c r="BA83">
        <v>1</v>
      </c>
      <c r="BB83">
        <v>1</v>
      </c>
      <c r="BC83">
        <v>1</v>
      </c>
      <c r="BD83" t="s">
        <v>2</v>
      </c>
      <c r="BE83" t="s">
        <v>2</v>
      </c>
      <c r="BF83" t="s">
        <v>2</v>
      </c>
      <c r="BG83" t="s">
        <v>2</v>
      </c>
      <c r="BH83">
        <v>3</v>
      </c>
      <c r="BI83">
        <v>1</v>
      </c>
      <c r="BJ83" t="s">
        <v>184</v>
      </c>
      <c r="BM83">
        <v>500001</v>
      </c>
      <c r="BN83">
        <v>0</v>
      </c>
      <c r="BO83" t="s">
        <v>2</v>
      </c>
      <c r="BP83">
        <v>0</v>
      </c>
      <c r="BQ83">
        <v>8</v>
      </c>
      <c r="BR83">
        <v>0</v>
      </c>
      <c r="BS83">
        <v>1</v>
      </c>
      <c r="BT83">
        <v>1</v>
      </c>
      <c r="BU83">
        <v>1</v>
      </c>
      <c r="BV83">
        <v>1</v>
      </c>
      <c r="BW83">
        <v>1</v>
      </c>
      <c r="BX83">
        <v>1</v>
      </c>
      <c r="BY83" t="s">
        <v>2</v>
      </c>
      <c r="BZ83">
        <v>0</v>
      </c>
      <c r="CA83">
        <v>0</v>
      </c>
      <c r="CE83">
        <v>0</v>
      </c>
      <c r="CF83">
        <v>0</v>
      </c>
      <c r="CG83">
        <v>0</v>
      </c>
      <c r="CM83">
        <v>0</v>
      </c>
      <c r="CN83" t="s">
        <v>2</v>
      </c>
      <c r="CO83">
        <v>0</v>
      </c>
      <c r="CP83">
        <f t="shared" si="84"/>
        <v>228</v>
      </c>
      <c r="CQ83">
        <f t="shared" si="85"/>
        <v>14837.58</v>
      </c>
      <c r="CR83">
        <f t="shared" si="86"/>
        <v>0</v>
      </c>
      <c r="CS83">
        <f t="shared" si="87"/>
        <v>0</v>
      </c>
      <c r="CT83">
        <f t="shared" si="88"/>
        <v>0</v>
      </c>
      <c r="CU83">
        <f t="shared" si="89"/>
        <v>0</v>
      </c>
      <c r="CV83">
        <f t="shared" si="89"/>
        <v>0</v>
      </c>
      <c r="CW83">
        <f t="shared" si="89"/>
        <v>0</v>
      </c>
      <c r="CX83">
        <f t="shared" si="89"/>
        <v>0</v>
      </c>
      <c r="CY83">
        <f t="shared" si="90"/>
        <v>0</v>
      </c>
      <c r="CZ83">
        <f t="shared" si="91"/>
        <v>0</v>
      </c>
      <c r="DC83" t="s">
        <v>2</v>
      </c>
      <c r="DD83" t="s">
        <v>2</v>
      </c>
      <c r="DE83" t="s">
        <v>2</v>
      </c>
      <c r="DF83" t="s">
        <v>2</v>
      </c>
      <c r="DG83" t="s">
        <v>2</v>
      </c>
      <c r="DH83" t="s">
        <v>2</v>
      </c>
      <c r="DI83" t="s">
        <v>2</v>
      </c>
      <c r="DJ83" t="s">
        <v>2</v>
      </c>
      <c r="DK83" t="s">
        <v>2</v>
      </c>
      <c r="DL83" t="s">
        <v>2</v>
      </c>
      <c r="DM83" t="s">
        <v>2</v>
      </c>
      <c r="DN83">
        <v>0</v>
      </c>
      <c r="DO83">
        <v>0</v>
      </c>
      <c r="DP83">
        <v>1</v>
      </c>
      <c r="DQ83">
        <v>1</v>
      </c>
      <c r="DU83">
        <v>1009</v>
      </c>
      <c r="DV83" t="s">
        <v>18</v>
      </c>
      <c r="DW83" t="s">
        <v>18</v>
      </c>
      <c r="DX83">
        <v>1000</v>
      </c>
      <c r="DZ83" t="s">
        <v>2</v>
      </c>
      <c r="EA83" t="s">
        <v>2</v>
      </c>
      <c r="EB83" t="s">
        <v>2</v>
      </c>
      <c r="EC83" t="s">
        <v>2</v>
      </c>
      <c r="EE83">
        <v>222773498</v>
      </c>
      <c r="EF83">
        <v>8</v>
      </c>
      <c r="EG83" t="s">
        <v>35</v>
      </c>
      <c r="EH83">
        <v>0</v>
      </c>
      <c r="EI83" t="s">
        <v>2</v>
      </c>
      <c r="EJ83">
        <v>1</v>
      </c>
      <c r="EK83">
        <v>500001</v>
      </c>
      <c r="EL83" t="s">
        <v>36</v>
      </c>
      <c r="EM83" t="s">
        <v>37</v>
      </c>
      <c r="EN83" t="s">
        <v>2</v>
      </c>
      <c r="EO83" t="s">
        <v>2</v>
      </c>
      <c r="EQ83">
        <v>0</v>
      </c>
      <c r="ER83">
        <v>14837.58</v>
      </c>
      <c r="ES83">
        <v>14837.58</v>
      </c>
      <c r="ET83">
        <v>0</v>
      </c>
      <c r="EU83">
        <v>0</v>
      </c>
      <c r="EV83">
        <v>0</v>
      </c>
      <c r="EW83">
        <v>0</v>
      </c>
      <c r="EX83">
        <v>0</v>
      </c>
      <c r="EY83">
        <v>0</v>
      </c>
      <c r="FQ83">
        <v>0</v>
      </c>
      <c r="FR83">
        <f t="shared" si="92"/>
        <v>0</v>
      </c>
      <c r="FS83">
        <v>0</v>
      </c>
      <c r="FX83">
        <v>0</v>
      </c>
      <c r="FY83">
        <v>0</v>
      </c>
      <c r="GA83" t="s">
        <v>2</v>
      </c>
      <c r="GD83">
        <v>1</v>
      </c>
      <c r="GF83">
        <v>-1798472888</v>
      </c>
      <c r="GG83">
        <v>2</v>
      </c>
      <c r="GH83">
        <v>1</v>
      </c>
      <c r="GI83">
        <v>-2</v>
      </c>
      <c r="GJ83">
        <v>0</v>
      </c>
      <c r="GK83">
        <v>0</v>
      </c>
      <c r="GL83">
        <f t="shared" si="93"/>
        <v>0</v>
      </c>
      <c r="GM83">
        <f t="shared" si="94"/>
        <v>228</v>
      </c>
      <c r="GN83">
        <f t="shared" si="95"/>
        <v>228</v>
      </c>
      <c r="GO83">
        <f t="shared" si="96"/>
        <v>0</v>
      </c>
      <c r="GP83">
        <f t="shared" si="97"/>
        <v>0</v>
      </c>
      <c r="GR83">
        <v>0</v>
      </c>
      <c r="GS83">
        <v>3</v>
      </c>
      <c r="GT83">
        <v>0</v>
      </c>
      <c r="GU83" t="s">
        <v>2</v>
      </c>
      <c r="GV83">
        <f t="shared" si="98"/>
        <v>0</v>
      </c>
      <c r="GW83">
        <v>1</v>
      </c>
      <c r="GX83">
        <f t="shared" si="99"/>
        <v>0</v>
      </c>
      <c r="HA83">
        <v>0</v>
      </c>
      <c r="HB83">
        <v>0</v>
      </c>
      <c r="HC83">
        <f t="shared" si="100"/>
        <v>0</v>
      </c>
      <c r="HE83" t="s">
        <v>2</v>
      </c>
      <c r="HF83" t="s">
        <v>2</v>
      </c>
      <c r="IK83">
        <v>0</v>
      </c>
    </row>
    <row r="84" spans="1:245" x14ac:dyDescent="0.2">
      <c r="A84">
        <v>17</v>
      </c>
      <c r="B84">
        <v>1</v>
      </c>
      <c r="C84">
        <f>ROW(SmtRes!A86)</f>
        <v>86</v>
      </c>
      <c r="D84">
        <f>ROW(EtalonRes!A104)</f>
        <v>104</v>
      </c>
      <c r="E84" t="s">
        <v>185</v>
      </c>
      <c r="F84" t="s">
        <v>186</v>
      </c>
      <c r="G84" t="s">
        <v>187</v>
      </c>
      <c r="H84" t="s">
        <v>78</v>
      </c>
      <c r="I84">
        <f>ROUND(12/100,9)</f>
        <v>0.12</v>
      </c>
      <c r="J84">
        <v>0</v>
      </c>
      <c r="O84">
        <f t="shared" si="70"/>
        <v>127</v>
      </c>
      <c r="P84">
        <f t="shared" si="71"/>
        <v>5</v>
      </c>
      <c r="Q84">
        <f t="shared" si="72"/>
        <v>8</v>
      </c>
      <c r="R84">
        <f t="shared" si="73"/>
        <v>1</v>
      </c>
      <c r="S84">
        <f t="shared" si="74"/>
        <v>114</v>
      </c>
      <c r="T84">
        <f t="shared" si="75"/>
        <v>0</v>
      </c>
      <c r="U84">
        <f t="shared" si="76"/>
        <v>11.810039999999997</v>
      </c>
      <c r="V84">
        <f t="shared" si="77"/>
        <v>5.7959999999999991E-2</v>
      </c>
      <c r="W84">
        <f t="shared" si="78"/>
        <v>0</v>
      </c>
      <c r="X84">
        <f t="shared" si="79"/>
        <v>120</v>
      </c>
      <c r="Y84">
        <f t="shared" si="79"/>
        <v>60</v>
      </c>
      <c r="AA84">
        <v>224527337</v>
      </c>
      <c r="AB84">
        <f t="shared" si="80"/>
        <v>1058.5999999999999</v>
      </c>
      <c r="AC84">
        <f t="shared" si="81"/>
        <v>41.51</v>
      </c>
      <c r="AD84">
        <f>ROUND(((((ET84*1.15))-((EU84*1.15)))+AE84),2)</f>
        <v>70.31</v>
      </c>
      <c r="AE84">
        <f>ROUND(((EU84*1.15)),2)</f>
        <v>6.07</v>
      </c>
      <c r="AF84">
        <f>ROUND((((EV84*1.1)*1.15)),2)</f>
        <v>946.78</v>
      </c>
      <c r="AG84">
        <f t="shared" si="82"/>
        <v>0</v>
      </c>
      <c r="AH84">
        <f>(((EW84*1.1)*1.15))</f>
        <v>98.416999999999987</v>
      </c>
      <c r="AI84">
        <f>((EX84*1.15))</f>
        <v>0.48299999999999993</v>
      </c>
      <c r="AJ84">
        <f t="shared" si="83"/>
        <v>0</v>
      </c>
      <c r="AK84">
        <v>851.09</v>
      </c>
      <c r="AL84">
        <v>41.51</v>
      </c>
      <c r="AM84">
        <v>61.14</v>
      </c>
      <c r="AN84">
        <v>5.28</v>
      </c>
      <c r="AO84">
        <v>748.44</v>
      </c>
      <c r="AP84">
        <v>0</v>
      </c>
      <c r="AQ84">
        <v>77.8</v>
      </c>
      <c r="AR84">
        <v>0.42</v>
      </c>
      <c r="AS84">
        <v>0</v>
      </c>
      <c r="AT84">
        <v>104</v>
      </c>
      <c r="AU84">
        <v>52</v>
      </c>
      <c r="AV84">
        <v>1</v>
      </c>
      <c r="AW84">
        <v>1</v>
      </c>
      <c r="AZ84">
        <v>1</v>
      </c>
      <c r="BA84">
        <v>1</v>
      </c>
      <c r="BB84">
        <v>1</v>
      </c>
      <c r="BC84">
        <v>1</v>
      </c>
      <c r="BD84" t="s">
        <v>2</v>
      </c>
      <c r="BE84" t="s">
        <v>2</v>
      </c>
      <c r="BF84" t="s">
        <v>2</v>
      </c>
      <c r="BG84" t="s">
        <v>2</v>
      </c>
      <c r="BH84">
        <v>0</v>
      </c>
      <c r="BI84">
        <v>1</v>
      </c>
      <c r="BJ84" t="s">
        <v>188</v>
      </c>
      <c r="BM84">
        <v>65007</v>
      </c>
      <c r="BN84">
        <v>0</v>
      </c>
      <c r="BO84" t="s">
        <v>2</v>
      </c>
      <c r="BP84">
        <v>0</v>
      </c>
      <c r="BQ84">
        <v>6</v>
      </c>
      <c r="BR84">
        <v>0</v>
      </c>
      <c r="BS84">
        <v>1</v>
      </c>
      <c r="BT84">
        <v>1</v>
      </c>
      <c r="BU84">
        <v>1</v>
      </c>
      <c r="BV84">
        <v>1</v>
      </c>
      <c r="BW84">
        <v>1</v>
      </c>
      <c r="BX84">
        <v>1</v>
      </c>
      <c r="BY84" t="s">
        <v>2</v>
      </c>
      <c r="BZ84">
        <v>104</v>
      </c>
      <c r="CA84">
        <v>52</v>
      </c>
      <c r="CE84">
        <v>0</v>
      </c>
      <c r="CF84">
        <v>0</v>
      </c>
      <c r="CG84">
        <v>0</v>
      </c>
      <c r="CM84">
        <v>0</v>
      </c>
      <c r="CN84" t="s">
        <v>801</v>
      </c>
      <c r="CO84">
        <v>0</v>
      </c>
      <c r="CP84">
        <f t="shared" si="84"/>
        <v>127</v>
      </c>
      <c r="CQ84">
        <f t="shared" si="85"/>
        <v>41.51</v>
      </c>
      <c r="CR84">
        <f t="shared" si="86"/>
        <v>70.31</v>
      </c>
      <c r="CS84">
        <f t="shared" si="87"/>
        <v>6.07</v>
      </c>
      <c r="CT84">
        <f t="shared" si="88"/>
        <v>946.78</v>
      </c>
      <c r="CU84">
        <f t="shared" si="89"/>
        <v>0</v>
      </c>
      <c r="CV84">
        <f t="shared" si="89"/>
        <v>98.416999999999987</v>
      </c>
      <c r="CW84">
        <f t="shared" si="89"/>
        <v>0.48299999999999993</v>
      </c>
      <c r="CX84">
        <f t="shared" si="89"/>
        <v>0</v>
      </c>
      <c r="CY84">
        <f t="shared" si="90"/>
        <v>119.6</v>
      </c>
      <c r="CZ84">
        <f t="shared" si="91"/>
        <v>59.8</v>
      </c>
      <c r="DC84" t="s">
        <v>2</v>
      </c>
      <c r="DD84" t="s">
        <v>2</v>
      </c>
      <c r="DE84" t="s">
        <v>179</v>
      </c>
      <c r="DF84" t="s">
        <v>179</v>
      </c>
      <c r="DG84" t="s">
        <v>189</v>
      </c>
      <c r="DH84" t="s">
        <v>2</v>
      </c>
      <c r="DI84" t="s">
        <v>189</v>
      </c>
      <c r="DJ84" t="s">
        <v>179</v>
      </c>
      <c r="DK84" t="s">
        <v>2</v>
      </c>
      <c r="DL84" t="s">
        <v>2</v>
      </c>
      <c r="DM84" t="s">
        <v>2</v>
      </c>
      <c r="DN84">
        <v>0</v>
      </c>
      <c r="DO84">
        <v>0</v>
      </c>
      <c r="DP84">
        <v>1</v>
      </c>
      <c r="DQ84">
        <v>1</v>
      </c>
      <c r="DU84">
        <v>1003</v>
      </c>
      <c r="DV84" t="s">
        <v>78</v>
      </c>
      <c r="DW84" t="s">
        <v>78</v>
      </c>
      <c r="DX84">
        <v>100</v>
      </c>
      <c r="DZ84" t="s">
        <v>2</v>
      </c>
      <c r="EA84" t="s">
        <v>2</v>
      </c>
      <c r="EB84" t="s">
        <v>2</v>
      </c>
      <c r="EC84" t="s">
        <v>2</v>
      </c>
      <c r="EE84">
        <v>222773664</v>
      </c>
      <c r="EF84">
        <v>6</v>
      </c>
      <c r="EG84" t="s">
        <v>20</v>
      </c>
      <c r="EH84">
        <v>99</v>
      </c>
      <c r="EI84" t="s">
        <v>104</v>
      </c>
      <c r="EJ84">
        <v>1</v>
      </c>
      <c r="EK84">
        <v>65007</v>
      </c>
      <c r="EL84" t="s">
        <v>190</v>
      </c>
      <c r="EM84" t="s">
        <v>106</v>
      </c>
      <c r="EN84" t="s">
        <v>2</v>
      </c>
      <c r="EO84" t="s">
        <v>191</v>
      </c>
      <c r="EQ84">
        <v>768</v>
      </c>
      <c r="ER84">
        <v>851.09</v>
      </c>
      <c r="ES84">
        <v>41.51</v>
      </c>
      <c r="ET84">
        <v>61.14</v>
      </c>
      <c r="EU84">
        <v>5.28</v>
      </c>
      <c r="EV84">
        <v>748.44</v>
      </c>
      <c r="EW84">
        <v>77.8</v>
      </c>
      <c r="EX84">
        <v>0.42</v>
      </c>
      <c r="EY84">
        <v>0</v>
      </c>
      <c r="FQ84">
        <v>0</v>
      </c>
      <c r="FR84">
        <f t="shared" si="92"/>
        <v>0</v>
      </c>
      <c r="FS84">
        <v>0</v>
      </c>
      <c r="FX84">
        <v>104</v>
      </c>
      <c r="FY84">
        <v>52</v>
      </c>
      <c r="GA84" t="s">
        <v>2</v>
      </c>
      <c r="GD84">
        <v>1</v>
      </c>
      <c r="GF84">
        <v>501817951</v>
      </c>
      <c r="GG84">
        <v>2</v>
      </c>
      <c r="GH84">
        <v>1</v>
      </c>
      <c r="GI84">
        <v>-2</v>
      </c>
      <c r="GJ84">
        <v>0</v>
      </c>
      <c r="GK84">
        <v>0</v>
      </c>
      <c r="GL84">
        <f t="shared" si="93"/>
        <v>0</v>
      </c>
      <c r="GM84">
        <f t="shared" si="94"/>
        <v>307</v>
      </c>
      <c r="GN84">
        <f t="shared" si="95"/>
        <v>307</v>
      </c>
      <c r="GO84">
        <f t="shared" si="96"/>
        <v>0</v>
      </c>
      <c r="GP84">
        <f t="shared" si="97"/>
        <v>0</v>
      </c>
      <c r="GR84">
        <v>0</v>
      </c>
      <c r="GS84">
        <v>3</v>
      </c>
      <c r="GT84">
        <v>0</v>
      </c>
      <c r="GU84" t="s">
        <v>2</v>
      </c>
      <c r="GV84">
        <f t="shared" si="98"/>
        <v>0</v>
      </c>
      <c r="GW84">
        <v>1</v>
      </c>
      <c r="GX84">
        <f t="shared" si="99"/>
        <v>0</v>
      </c>
      <c r="HA84">
        <v>0</v>
      </c>
      <c r="HB84">
        <v>0</v>
      </c>
      <c r="HC84">
        <f t="shared" si="100"/>
        <v>0</v>
      </c>
      <c r="HE84" t="s">
        <v>2</v>
      </c>
      <c r="HF84" t="s">
        <v>2</v>
      </c>
      <c r="IK84">
        <v>0</v>
      </c>
    </row>
    <row r="85" spans="1:245" x14ac:dyDescent="0.2">
      <c r="A85">
        <v>17</v>
      </c>
      <c r="B85">
        <v>1</v>
      </c>
      <c r="E85" t="s">
        <v>192</v>
      </c>
      <c r="F85" t="s">
        <v>193</v>
      </c>
      <c r="G85" t="s">
        <v>194</v>
      </c>
      <c r="H85" t="s">
        <v>195</v>
      </c>
      <c r="I85">
        <v>12</v>
      </c>
      <c r="J85">
        <v>0</v>
      </c>
      <c r="O85">
        <f t="shared" si="70"/>
        <v>339</v>
      </c>
      <c r="P85">
        <f t="shared" si="71"/>
        <v>339</v>
      </c>
      <c r="Q85">
        <f t="shared" si="72"/>
        <v>0</v>
      </c>
      <c r="R85">
        <f t="shared" si="73"/>
        <v>0</v>
      </c>
      <c r="S85">
        <f t="shared" si="74"/>
        <v>0</v>
      </c>
      <c r="T85">
        <f t="shared" si="75"/>
        <v>0</v>
      </c>
      <c r="U85">
        <f t="shared" si="76"/>
        <v>0</v>
      </c>
      <c r="V85">
        <f t="shared" si="77"/>
        <v>0</v>
      </c>
      <c r="W85">
        <f t="shared" si="78"/>
        <v>0</v>
      </c>
      <c r="X85">
        <f t="shared" si="79"/>
        <v>0</v>
      </c>
      <c r="Y85">
        <f t="shared" si="79"/>
        <v>0</v>
      </c>
      <c r="AA85">
        <v>224527337</v>
      </c>
      <c r="AB85">
        <f t="shared" si="80"/>
        <v>28.25</v>
      </c>
      <c r="AC85">
        <f t="shared" si="81"/>
        <v>28.25</v>
      </c>
      <c r="AD85">
        <f>ROUND((((ET85)-(EU85))+AE85),2)</f>
        <v>0</v>
      </c>
      <c r="AE85">
        <f>ROUND((EU85),2)</f>
        <v>0</v>
      </c>
      <c r="AF85">
        <f>ROUND((EV85),2)</f>
        <v>0</v>
      </c>
      <c r="AG85">
        <f t="shared" si="82"/>
        <v>0</v>
      </c>
      <c r="AH85">
        <f>(EW85)</f>
        <v>0</v>
      </c>
      <c r="AI85">
        <f>(EX85)</f>
        <v>0</v>
      </c>
      <c r="AJ85">
        <f t="shared" si="83"/>
        <v>0</v>
      </c>
      <c r="AK85">
        <v>28.25</v>
      </c>
      <c r="AL85">
        <v>28.25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1</v>
      </c>
      <c r="AW85">
        <v>1</v>
      </c>
      <c r="AZ85">
        <v>1</v>
      </c>
      <c r="BA85">
        <v>1</v>
      </c>
      <c r="BB85">
        <v>1</v>
      </c>
      <c r="BC85">
        <v>1</v>
      </c>
      <c r="BD85" t="s">
        <v>2</v>
      </c>
      <c r="BE85" t="s">
        <v>2</v>
      </c>
      <c r="BF85" t="s">
        <v>2</v>
      </c>
      <c r="BG85" t="s">
        <v>2</v>
      </c>
      <c r="BH85">
        <v>3</v>
      </c>
      <c r="BI85">
        <v>1</v>
      </c>
      <c r="BJ85" t="s">
        <v>196</v>
      </c>
      <c r="BM85">
        <v>500001</v>
      </c>
      <c r="BN85">
        <v>0</v>
      </c>
      <c r="BO85" t="s">
        <v>2</v>
      </c>
      <c r="BP85">
        <v>0</v>
      </c>
      <c r="BQ85">
        <v>8</v>
      </c>
      <c r="BR85">
        <v>0</v>
      </c>
      <c r="BS85">
        <v>1</v>
      </c>
      <c r="BT85">
        <v>1</v>
      </c>
      <c r="BU85">
        <v>1</v>
      </c>
      <c r="BV85">
        <v>1</v>
      </c>
      <c r="BW85">
        <v>1</v>
      </c>
      <c r="BX85">
        <v>1</v>
      </c>
      <c r="BY85" t="s">
        <v>2</v>
      </c>
      <c r="BZ85">
        <v>0</v>
      </c>
      <c r="CA85">
        <v>0</v>
      </c>
      <c r="CE85">
        <v>0</v>
      </c>
      <c r="CF85">
        <v>0</v>
      </c>
      <c r="CG85">
        <v>0</v>
      </c>
      <c r="CM85">
        <v>0</v>
      </c>
      <c r="CN85" t="s">
        <v>2</v>
      </c>
      <c r="CO85">
        <v>0</v>
      </c>
      <c r="CP85">
        <f t="shared" si="84"/>
        <v>339</v>
      </c>
      <c r="CQ85">
        <f t="shared" si="85"/>
        <v>28.25</v>
      </c>
      <c r="CR85">
        <f t="shared" si="86"/>
        <v>0</v>
      </c>
      <c r="CS85">
        <f t="shared" si="87"/>
        <v>0</v>
      </c>
      <c r="CT85">
        <f t="shared" si="88"/>
        <v>0</v>
      </c>
      <c r="CU85">
        <f t="shared" si="89"/>
        <v>0</v>
      </c>
      <c r="CV85">
        <f t="shared" si="89"/>
        <v>0</v>
      </c>
      <c r="CW85">
        <f t="shared" si="89"/>
        <v>0</v>
      </c>
      <c r="CX85">
        <f t="shared" si="89"/>
        <v>0</v>
      </c>
      <c r="CY85">
        <f t="shared" si="90"/>
        <v>0</v>
      </c>
      <c r="CZ85">
        <f t="shared" si="91"/>
        <v>0</v>
      </c>
      <c r="DC85" t="s">
        <v>2</v>
      </c>
      <c r="DD85" t="s">
        <v>2</v>
      </c>
      <c r="DE85" t="s">
        <v>2</v>
      </c>
      <c r="DF85" t="s">
        <v>2</v>
      </c>
      <c r="DG85" t="s">
        <v>2</v>
      </c>
      <c r="DH85" t="s">
        <v>2</v>
      </c>
      <c r="DI85" t="s">
        <v>2</v>
      </c>
      <c r="DJ85" t="s">
        <v>2</v>
      </c>
      <c r="DK85" t="s">
        <v>2</v>
      </c>
      <c r="DL85" t="s">
        <v>2</v>
      </c>
      <c r="DM85" t="s">
        <v>2</v>
      </c>
      <c r="DN85">
        <v>0</v>
      </c>
      <c r="DO85">
        <v>0</v>
      </c>
      <c r="DP85">
        <v>1</v>
      </c>
      <c r="DQ85">
        <v>1</v>
      </c>
      <c r="DU85">
        <v>1003</v>
      </c>
      <c r="DV85" t="s">
        <v>195</v>
      </c>
      <c r="DW85" t="s">
        <v>195</v>
      </c>
      <c r="DX85">
        <v>1</v>
      </c>
      <c r="DZ85" t="s">
        <v>2</v>
      </c>
      <c r="EA85" t="s">
        <v>2</v>
      </c>
      <c r="EB85" t="s">
        <v>2</v>
      </c>
      <c r="EC85" t="s">
        <v>2</v>
      </c>
      <c r="EE85">
        <v>222773498</v>
      </c>
      <c r="EF85">
        <v>8</v>
      </c>
      <c r="EG85" t="s">
        <v>35</v>
      </c>
      <c r="EH85">
        <v>0</v>
      </c>
      <c r="EI85" t="s">
        <v>2</v>
      </c>
      <c r="EJ85">
        <v>1</v>
      </c>
      <c r="EK85">
        <v>500001</v>
      </c>
      <c r="EL85" t="s">
        <v>36</v>
      </c>
      <c r="EM85" t="s">
        <v>37</v>
      </c>
      <c r="EN85" t="s">
        <v>2</v>
      </c>
      <c r="EO85" t="s">
        <v>2</v>
      </c>
      <c r="EQ85">
        <v>0</v>
      </c>
      <c r="ER85">
        <v>28.25</v>
      </c>
      <c r="ES85">
        <v>28.25</v>
      </c>
      <c r="ET85">
        <v>0</v>
      </c>
      <c r="EU85">
        <v>0</v>
      </c>
      <c r="EV85">
        <v>0</v>
      </c>
      <c r="EW85">
        <v>0</v>
      </c>
      <c r="EX85">
        <v>0</v>
      </c>
      <c r="EY85">
        <v>0</v>
      </c>
      <c r="FQ85">
        <v>0</v>
      </c>
      <c r="FR85">
        <f t="shared" si="92"/>
        <v>0</v>
      </c>
      <c r="FS85">
        <v>0</v>
      </c>
      <c r="FX85">
        <v>0</v>
      </c>
      <c r="FY85">
        <v>0</v>
      </c>
      <c r="GA85" t="s">
        <v>2</v>
      </c>
      <c r="GD85">
        <v>1</v>
      </c>
      <c r="GF85">
        <v>-438374013</v>
      </c>
      <c r="GG85">
        <v>2</v>
      </c>
      <c r="GH85">
        <v>1</v>
      </c>
      <c r="GI85">
        <v>-2</v>
      </c>
      <c r="GJ85">
        <v>0</v>
      </c>
      <c r="GK85">
        <v>0</v>
      </c>
      <c r="GL85">
        <f t="shared" si="93"/>
        <v>0</v>
      </c>
      <c r="GM85">
        <f t="shared" si="94"/>
        <v>339</v>
      </c>
      <c r="GN85">
        <f t="shared" si="95"/>
        <v>339</v>
      </c>
      <c r="GO85">
        <f t="shared" si="96"/>
        <v>0</v>
      </c>
      <c r="GP85">
        <f t="shared" si="97"/>
        <v>0</v>
      </c>
      <c r="GR85">
        <v>0</v>
      </c>
      <c r="GS85">
        <v>3</v>
      </c>
      <c r="GT85">
        <v>0</v>
      </c>
      <c r="GU85" t="s">
        <v>2</v>
      </c>
      <c r="GV85">
        <f t="shared" si="98"/>
        <v>0</v>
      </c>
      <c r="GW85">
        <v>1</v>
      </c>
      <c r="GX85">
        <f t="shared" si="99"/>
        <v>0</v>
      </c>
      <c r="HA85">
        <v>0</v>
      </c>
      <c r="HB85">
        <v>0</v>
      </c>
      <c r="HC85">
        <f t="shared" si="100"/>
        <v>0</v>
      </c>
      <c r="HE85" t="s">
        <v>2</v>
      </c>
      <c r="HF85" t="s">
        <v>2</v>
      </c>
      <c r="IK85">
        <v>0</v>
      </c>
    </row>
    <row r="86" spans="1:245" x14ac:dyDescent="0.2">
      <c r="A86">
        <v>17</v>
      </c>
      <c r="B86">
        <v>1</v>
      </c>
      <c r="C86">
        <f>ROW(SmtRes!A93)</f>
        <v>93</v>
      </c>
      <c r="D86">
        <f>ROW(EtalonRes!A113)</f>
        <v>113</v>
      </c>
      <c r="E86" t="s">
        <v>197</v>
      </c>
      <c r="F86" t="s">
        <v>198</v>
      </c>
      <c r="G86" t="s">
        <v>199</v>
      </c>
      <c r="H86" t="s">
        <v>200</v>
      </c>
      <c r="I86">
        <v>2</v>
      </c>
      <c r="J86">
        <v>0</v>
      </c>
      <c r="O86">
        <f t="shared" si="70"/>
        <v>103</v>
      </c>
      <c r="P86">
        <f t="shared" si="71"/>
        <v>50</v>
      </c>
      <c r="Q86">
        <f t="shared" si="72"/>
        <v>12</v>
      </c>
      <c r="R86">
        <f t="shared" si="73"/>
        <v>0</v>
      </c>
      <c r="S86">
        <f t="shared" si="74"/>
        <v>41</v>
      </c>
      <c r="T86">
        <f t="shared" si="75"/>
        <v>0</v>
      </c>
      <c r="U86">
        <f t="shared" si="76"/>
        <v>4.5643500000000001</v>
      </c>
      <c r="V86">
        <f t="shared" si="77"/>
        <v>3.3750000000000002E-2</v>
      </c>
      <c r="W86">
        <f t="shared" si="78"/>
        <v>0</v>
      </c>
      <c r="X86">
        <f t="shared" si="79"/>
        <v>50</v>
      </c>
      <c r="Y86">
        <f t="shared" si="79"/>
        <v>25</v>
      </c>
      <c r="AA86">
        <v>224527337</v>
      </c>
      <c r="AB86">
        <f t="shared" si="80"/>
        <v>51.8</v>
      </c>
      <c r="AC86">
        <f t="shared" si="81"/>
        <v>25.21</v>
      </c>
      <c r="AD86">
        <f>ROUND((((((ET86*1.25)*1.35))-(((EU86*1.25)*1.35)))+AE86),2)</f>
        <v>5.9</v>
      </c>
      <c r="AE86">
        <f>ROUND((((EU86*1.25)*1.35)),2)</f>
        <v>0.2</v>
      </c>
      <c r="AF86">
        <f>ROUND((((EV86*1.15)*1.35)),2)</f>
        <v>20.69</v>
      </c>
      <c r="AG86">
        <f t="shared" si="82"/>
        <v>0</v>
      </c>
      <c r="AH86">
        <f>(((EW86*1.15)*1.35))</f>
        <v>2.2821750000000001</v>
      </c>
      <c r="AI86">
        <f>(((EX86*1.25)*1.35))</f>
        <v>1.6875000000000001E-2</v>
      </c>
      <c r="AJ86">
        <f t="shared" si="83"/>
        <v>0</v>
      </c>
      <c r="AK86">
        <v>42.04</v>
      </c>
      <c r="AL86">
        <v>25.21</v>
      </c>
      <c r="AM86">
        <v>3.5</v>
      </c>
      <c r="AN86">
        <v>0.12</v>
      </c>
      <c r="AO86">
        <v>13.33</v>
      </c>
      <c r="AP86">
        <v>0</v>
      </c>
      <c r="AQ86">
        <v>1.47</v>
      </c>
      <c r="AR86">
        <v>0.01</v>
      </c>
      <c r="AS86">
        <v>0</v>
      </c>
      <c r="AT86">
        <v>122</v>
      </c>
      <c r="AU86">
        <v>61.2</v>
      </c>
      <c r="AV86">
        <v>1</v>
      </c>
      <c r="AW86">
        <v>1</v>
      </c>
      <c r="AZ86">
        <v>1</v>
      </c>
      <c r="BA86">
        <v>1</v>
      </c>
      <c r="BB86">
        <v>1</v>
      </c>
      <c r="BC86">
        <v>1</v>
      </c>
      <c r="BD86" t="s">
        <v>2</v>
      </c>
      <c r="BE86" t="s">
        <v>2</v>
      </c>
      <c r="BF86" t="s">
        <v>2</v>
      </c>
      <c r="BG86" t="s">
        <v>2</v>
      </c>
      <c r="BH86">
        <v>0</v>
      </c>
      <c r="BI86">
        <v>1</v>
      </c>
      <c r="BJ86" t="s">
        <v>201</v>
      </c>
      <c r="BM86">
        <v>16001</v>
      </c>
      <c r="BN86">
        <v>0</v>
      </c>
      <c r="BO86" t="s">
        <v>2</v>
      </c>
      <c r="BP86">
        <v>0</v>
      </c>
      <c r="BQ86">
        <v>22</v>
      </c>
      <c r="BR86">
        <v>0</v>
      </c>
      <c r="BS86">
        <v>1</v>
      </c>
      <c r="BT86">
        <v>1</v>
      </c>
      <c r="BU86">
        <v>1</v>
      </c>
      <c r="BV86">
        <v>1</v>
      </c>
      <c r="BW86">
        <v>1</v>
      </c>
      <c r="BX86">
        <v>1</v>
      </c>
      <c r="BY86" t="s">
        <v>2</v>
      </c>
      <c r="BZ86">
        <v>122</v>
      </c>
      <c r="CA86">
        <v>72</v>
      </c>
      <c r="CE86">
        <v>0</v>
      </c>
      <c r="CF86">
        <v>0</v>
      </c>
      <c r="CG86">
        <v>0</v>
      </c>
      <c r="CM86">
        <v>0</v>
      </c>
      <c r="CN86" t="s">
        <v>802</v>
      </c>
      <c r="CO86">
        <v>0</v>
      </c>
      <c r="CP86">
        <f t="shared" si="84"/>
        <v>103</v>
      </c>
      <c r="CQ86">
        <f t="shared" si="85"/>
        <v>25.21</v>
      </c>
      <c r="CR86">
        <f t="shared" si="86"/>
        <v>5.9</v>
      </c>
      <c r="CS86">
        <f t="shared" si="87"/>
        <v>0.2</v>
      </c>
      <c r="CT86">
        <f t="shared" si="88"/>
        <v>20.69</v>
      </c>
      <c r="CU86">
        <f t="shared" si="89"/>
        <v>0</v>
      </c>
      <c r="CV86">
        <f t="shared" si="89"/>
        <v>2.2821750000000001</v>
      </c>
      <c r="CW86">
        <f t="shared" si="89"/>
        <v>1.6875000000000001E-2</v>
      </c>
      <c r="CX86">
        <f t="shared" si="89"/>
        <v>0</v>
      </c>
      <c r="CY86">
        <f t="shared" si="90"/>
        <v>50.02</v>
      </c>
      <c r="CZ86">
        <f t="shared" si="91"/>
        <v>25.092000000000002</v>
      </c>
      <c r="DC86" t="s">
        <v>2</v>
      </c>
      <c r="DD86" t="s">
        <v>2</v>
      </c>
      <c r="DE86" t="s">
        <v>202</v>
      </c>
      <c r="DF86" t="s">
        <v>202</v>
      </c>
      <c r="DG86" t="s">
        <v>203</v>
      </c>
      <c r="DH86" t="s">
        <v>2</v>
      </c>
      <c r="DI86" t="s">
        <v>203</v>
      </c>
      <c r="DJ86" t="s">
        <v>202</v>
      </c>
      <c r="DK86" t="s">
        <v>2</v>
      </c>
      <c r="DL86" t="s">
        <v>2</v>
      </c>
      <c r="DM86" t="s">
        <v>67</v>
      </c>
      <c r="DN86">
        <v>0</v>
      </c>
      <c r="DO86">
        <v>0</v>
      </c>
      <c r="DP86">
        <v>1</v>
      </c>
      <c r="DQ86">
        <v>1</v>
      </c>
      <c r="DU86">
        <v>74472246</v>
      </c>
      <c r="DV86" t="s">
        <v>200</v>
      </c>
      <c r="DW86" t="s">
        <v>200</v>
      </c>
      <c r="DX86">
        <v>1</v>
      </c>
      <c r="DZ86" t="s">
        <v>2</v>
      </c>
      <c r="EA86" t="s">
        <v>2</v>
      </c>
      <c r="EB86" t="s">
        <v>2</v>
      </c>
      <c r="EC86" t="s">
        <v>2</v>
      </c>
      <c r="EE86">
        <v>222773593</v>
      </c>
      <c r="EF86">
        <v>22</v>
      </c>
      <c r="EG86" t="s">
        <v>112</v>
      </c>
      <c r="EH86">
        <v>16</v>
      </c>
      <c r="EI86" t="s">
        <v>113</v>
      </c>
      <c r="EJ86">
        <v>1</v>
      </c>
      <c r="EK86">
        <v>16001</v>
      </c>
      <c r="EL86" t="s">
        <v>204</v>
      </c>
      <c r="EM86" t="s">
        <v>205</v>
      </c>
      <c r="EN86" t="s">
        <v>2</v>
      </c>
      <c r="EO86" t="s">
        <v>206</v>
      </c>
      <c r="EQ86">
        <v>768</v>
      </c>
      <c r="ER86">
        <v>42.04</v>
      </c>
      <c r="ES86">
        <v>25.21</v>
      </c>
      <c r="ET86">
        <v>3.5</v>
      </c>
      <c r="EU86">
        <v>0.12</v>
      </c>
      <c r="EV86">
        <v>13.33</v>
      </c>
      <c r="EW86">
        <v>1.47</v>
      </c>
      <c r="EX86">
        <v>0.01</v>
      </c>
      <c r="EY86">
        <v>0</v>
      </c>
      <c r="FQ86">
        <v>0</v>
      </c>
      <c r="FR86">
        <f t="shared" si="92"/>
        <v>0</v>
      </c>
      <c r="FS86">
        <v>0</v>
      </c>
      <c r="FX86">
        <v>122</v>
      </c>
      <c r="FY86">
        <v>61.2</v>
      </c>
      <c r="GA86" t="s">
        <v>2</v>
      </c>
      <c r="GD86">
        <v>1</v>
      </c>
      <c r="GF86">
        <v>-2128720616</v>
      </c>
      <c r="GG86">
        <v>2</v>
      </c>
      <c r="GH86">
        <v>1</v>
      </c>
      <c r="GI86">
        <v>-2</v>
      </c>
      <c r="GJ86">
        <v>0</v>
      </c>
      <c r="GK86">
        <v>0</v>
      </c>
      <c r="GL86">
        <f t="shared" si="93"/>
        <v>0</v>
      </c>
      <c r="GM86">
        <f t="shared" si="94"/>
        <v>178</v>
      </c>
      <c r="GN86">
        <f t="shared" si="95"/>
        <v>178</v>
      </c>
      <c r="GO86">
        <f t="shared" si="96"/>
        <v>0</v>
      </c>
      <c r="GP86">
        <f t="shared" si="97"/>
        <v>0</v>
      </c>
      <c r="GR86">
        <v>0</v>
      </c>
      <c r="GS86">
        <v>3</v>
      </c>
      <c r="GT86">
        <v>0</v>
      </c>
      <c r="GU86" t="s">
        <v>2</v>
      </c>
      <c r="GV86">
        <f t="shared" si="98"/>
        <v>0</v>
      </c>
      <c r="GW86">
        <v>1</v>
      </c>
      <c r="GX86">
        <f t="shared" si="99"/>
        <v>0</v>
      </c>
      <c r="HA86">
        <v>0</v>
      </c>
      <c r="HB86">
        <v>0</v>
      </c>
      <c r="HC86">
        <f t="shared" si="100"/>
        <v>0</v>
      </c>
      <c r="HE86" t="s">
        <v>2</v>
      </c>
      <c r="HF86" t="s">
        <v>2</v>
      </c>
      <c r="IK86">
        <v>0</v>
      </c>
    </row>
    <row r="87" spans="1:245" x14ac:dyDescent="0.2">
      <c r="A87">
        <v>17</v>
      </c>
      <c r="B87">
        <v>1</v>
      </c>
      <c r="E87" t="s">
        <v>207</v>
      </c>
      <c r="F87" t="s">
        <v>208</v>
      </c>
      <c r="G87" t="s">
        <v>209</v>
      </c>
      <c r="H87" t="s">
        <v>200</v>
      </c>
      <c r="I87">
        <v>2</v>
      </c>
      <c r="J87">
        <v>0</v>
      </c>
      <c r="O87">
        <f t="shared" si="70"/>
        <v>31</v>
      </c>
      <c r="P87">
        <f t="shared" si="71"/>
        <v>31</v>
      </c>
      <c r="Q87">
        <f t="shared" si="72"/>
        <v>0</v>
      </c>
      <c r="R87">
        <f t="shared" si="73"/>
        <v>0</v>
      </c>
      <c r="S87">
        <f t="shared" si="74"/>
        <v>0</v>
      </c>
      <c r="T87">
        <f t="shared" si="75"/>
        <v>0</v>
      </c>
      <c r="U87">
        <f t="shared" si="76"/>
        <v>0</v>
      </c>
      <c r="V87">
        <f t="shared" si="77"/>
        <v>0</v>
      </c>
      <c r="W87">
        <f t="shared" si="78"/>
        <v>0</v>
      </c>
      <c r="X87">
        <f t="shared" si="79"/>
        <v>0</v>
      </c>
      <c r="Y87">
        <f t="shared" si="79"/>
        <v>0</v>
      </c>
      <c r="AA87">
        <v>224527337</v>
      </c>
      <c r="AB87">
        <f t="shared" si="80"/>
        <v>15.71</v>
      </c>
      <c r="AC87">
        <f t="shared" si="81"/>
        <v>15.71</v>
      </c>
      <c r="AD87">
        <f>ROUND((((ET87)-(EU87))+AE87),2)</f>
        <v>0</v>
      </c>
      <c r="AE87">
        <f>ROUND((EU87),2)</f>
        <v>0</v>
      </c>
      <c r="AF87">
        <f>ROUND((EV87),2)</f>
        <v>0</v>
      </c>
      <c r="AG87">
        <f t="shared" si="82"/>
        <v>0</v>
      </c>
      <c r="AH87">
        <f>(EW87)</f>
        <v>0</v>
      </c>
      <c r="AI87">
        <f>(EX87)</f>
        <v>0</v>
      </c>
      <c r="AJ87">
        <f t="shared" si="83"/>
        <v>0</v>
      </c>
      <c r="AK87">
        <v>15.71</v>
      </c>
      <c r="AL87">
        <v>15.71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1</v>
      </c>
      <c r="AW87">
        <v>1</v>
      </c>
      <c r="AZ87">
        <v>1</v>
      </c>
      <c r="BA87">
        <v>1</v>
      </c>
      <c r="BB87">
        <v>1</v>
      </c>
      <c r="BC87">
        <v>1</v>
      </c>
      <c r="BD87" t="s">
        <v>2</v>
      </c>
      <c r="BE87" t="s">
        <v>2</v>
      </c>
      <c r="BF87" t="s">
        <v>2</v>
      </c>
      <c r="BG87" t="s">
        <v>2</v>
      </c>
      <c r="BH87">
        <v>3</v>
      </c>
      <c r="BI87">
        <v>1</v>
      </c>
      <c r="BJ87" t="s">
        <v>210</v>
      </c>
      <c r="BM87">
        <v>500001</v>
      </c>
      <c r="BN87">
        <v>0</v>
      </c>
      <c r="BO87" t="s">
        <v>2</v>
      </c>
      <c r="BP87">
        <v>0</v>
      </c>
      <c r="BQ87">
        <v>8</v>
      </c>
      <c r="BR87">
        <v>0</v>
      </c>
      <c r="BS87">
        <v>1</v>
      </c>
      <c r="BT87">
        <v>1</v>
      </c>
      <c r="BU87">
        <v>1</v>
      </c>
      <c r="BV87">
        <v>1</v>
      </c>
      <c r="BW87">
        <v>1</v>
      </c>
      <c r="BX87">
        <v>1</v>
      </c>
      <c r="BY87" t="s">
        <v>2</v>
      </c>
      <c r="BZ87">
        <v>0</v>
      </c>
      <c r="CA87">
        <v>0</v>
      </c>
      <c r="CE87">
        <v>0</v>
      </c>
      <c r="CF87">
        <v>0</v>
      </c>
      <c r="CG87">
        <v>0</v>
      </c>
      <c r="CM87">
        <v>0</v>
      </c>
      <c r="CN87" t="s">
        <v>2</v>
      </c>
      <c r="CO87">
        <v>0</v>
      </c>
      <c r="CP87">
        <f t="shared" si="84"/>
        <v>31</v>
      </c>
      <c r="CQ87">
        <f t="shared" si="85"/>
        <v>15.71</v>
      </c>
      <c r="CR87">
        <f t="shared" si="86"/>
        <v>0</v>
      </c>
      <c r="CS87">
        <f t="shared" si="87"/>
        <v>0</v>
      </c>
      <c r="CT87">
        <f t="shared" si="88"/>
        <v>0</v>
      </c>
      <c r="CU87">
        <f t="shared" si="89"/>
        <v>0</v>
      </c>
      <c r="CV87">
        <f t="shared" si="89"/>
        <v>0</v>
      </c>
      <c r="CW87">
        <f t="shared" si="89"/>
        <v>0</v>
      </c>
      <c r="CX87">
        <f t="shared" si="89"/>
        <v>0</v>
      </c>
      <c r="CY87">
        <f t="shared" si="90"/>
        <v>0</v>
      </c>
      <c r="CZ87">
        <f t="shared" si="91"/>
        <v>0</v>
      </c>
      <c r="DC87" t="s">
        <v>2</v>
      </c>
      <c r="DD87" t="s">
        <v>2</v>
      </c>
      <c r="DE87" t="s">
        <v>2</v>
      </c>
      <c r="DF87" t="s">
        <v>2</v>
      </c>
      <c r="DG87" t="s">
        <v>2</v>
      </c>
      <c r="DH87" t="s">
        <v>2</v>
      </c>
      <c r="DI87" t="s">
        <v>2</v>
      </c>
      <c r="DJ87" t="s">
        <v>2</v>
      </c>
      <c r="DK87" t="s">
        <v>2</v>
      </c>
      <c r="DL87" t="s">
        <v>2</v>
      </c>
      <c r="DM87" t="s">
        <v>2</v>
      </c>
      <c r="DN87">
        <v>0</v>
      </c>
      <c r="DO87">
        <v>0</v>
      </c>
      <c r="DP87">
        <v>1</v>
      </c>
      <c r="DQ87">
        <v>1</v>
      </c>
      <c r="DU87">
        <v>74472246</v>
      </c>
      <c r="DV87" t="s">
        <v>200</v>
      </c>
      <c r="DW87" t="s">
        <v>200</v>
      </c>
      <c r="DX87">
        <v>1</v>
      </c>
      <c r="DZ87" t="s">
        <v>2</v>
      </c>
      <c r="EA87" t="s">
        <v>2</v>
      </c>
      <c r="EB87" t="s">
        <v>2</v>
      </c>
      <c r="EC87" t="s">
        <v>2</v>
      </c>
      <c r="EE87">
        <v>222773498</v>
      </c>
      <c r="EF87">
        <v>8</v>
      </c>
      <c r="EG87" t="s">
        <v>35</v>
      </c>
      <c r="EH87">
        <v>0</v>
      </c>
      <c r="EI87" t="s">
        <v>2</v>
      </c>
      <c r="EJ87">
        <v>1</v>
      </c>
      <c r="EK87">
        <v>500001</v>
      </c>
      <c r="EL87" t="s">
        <v>36</v>
      </c>
      <c r="EM87" t="s">
        <v>37</v>
      </c>
      <c r="EN87" t="s">
        <v>2</v>
      </c>
      <c r="EO87" t="s">
        <v>2</v>
      </c>
      <c r="EQ87">
        <v>0</v>
      </c>
      <c r="ER87">
        <v>15.71</v>
      </c>
      <c r="ES87">
        <v>15.71</v>
      </c>
      <c r="ET87">
        <v>0</v>
      </c>
      <c r="EU87">
        <v>0</v>
      </c>
      <c r="EV87">
        <v>0</v>
      </c>
      <c r="EW87">
        <v>0</v>
      </c>
      <c r="EX87">
        <v>0</v>
      </c>
      <c r="EY87">
        <v>0</v>
      </c>
      <c r="FQ87">
        <v>0</v>
      </c>
      <c r="FR87">
        <f t="shared" si="92"/>
        <v>0</v>
      </c>
      <c r="FS87">
        <v>0</v>
      </c>
      <c r="FX87">
        <v>0</v>
      </c>
      <c r="FY87">
        <v>0</v>
      </c>
      <c r="GA87" t="s">
        <v>2</v>
      </c>
      <c r="GD87">
        <v>1</v>
      </c>
      <c r="GF87">
        <v>915480679</v>
      </c>
      <c r="GG87">
        <v>2</v>
      </c>
      <c r="GH87">
        <v>1</v>
      </c>
      <c r="GI87">
        <v>-2</v>
      </c>
      <c r="GJ87">
        <v>0</v>
      </c>
      <c r="GK87">
        <v>0</v>
      </c>
      <c r="GL87">
        <f t="shared" si="93"/>
        <v>0</v>
      </c>
      <c r="GM87">
        <f t="shared" si="94"/>
        <v>31</v>
      </c>
      <c r="GN87">
        <f t="shared" si="95"/>
        <v>31</v>
      </c>
      <c r="GO87">
        <f t="shared" si="96"/>
        <v>0</v>
      </c>
      <c r="GP87">
        <f t="shared" si="97"/>
        <v>0</v>
      </c>
      <c r="GR87">
        <v>0</v>
      </c>
      <c r="GS87">
        <v>3</v>
      </c>
      <c r="GT87">
        <v>0</v>
      </c>
      <c r="GU87" t="s">
        <v>2</v>
      </c>
      <c r="GV87">
        <f t="shared" si="98"/>
        <v>0</v>
      </c>
      <c r="GW87">
        <v>1</v>
      </c>
      <c r="GX87">
        <f t="shared" si="99"/>
        <v>0</v>
      </c>
      <c r="HA87">
        <v>0</v>
      </c>
      <c r="HB87">
        <v>0</v>
      </c>
      <c r="HC87">
        <f t="shared" si="100"/>
        <v>0</v>
      </c>
      <c r="HE87" t="s">
        <v>2</v>
      </c>
      <c r="HF87" t="s">
        <v>2</v>
      </c>
      <c r="IK87">
        <v>0</v>
      </c>
    </row>
    <row r="89" spans="1:245" x14ac:dyDescent="0.2">
      <c r="A89" s="2">
        <v>51</v>
      </c>
      <c r="B89" s="2">
        <f>B78</f>
        <v>1</v>
      </c>
      <c r="C89" s="2">
        <f>A78</f>
        <v>4</v>
      </c>
      <c r="D89" s="2">
        <f>ROW(A78)</f>
        <v>78</v>
      </c>
      <c r="E89" s="2"/>
      <c r="F89" s="2" t="str">
        <f>IF(F78&lt;&gt;"",F78,"")</f>
        <v>Новый раздел</v>
      </c>
      <c r="G89" s="2" t="str">
        <f>IF(G78&lt;&gt;"",G78,"")</f>
        <v>Помещение задвижек пожаротушения</v>
      </c>
      <c r="H89" s="2">
        <v>0</v>
      </c>
      <c r="I89" s="2"/>
      <c r="J89" s="2"/>
      <c r="K89" s="2"/>
      <c r="L89" s="2"/>
      <c r="M89" s="2"/>
      <c r="N89" s="2"/>
      <c r="O89" s="2">
        <f t="shared" ref="O89:T89" si="101">ROUND(AB89,0)</f>
        <v>942</v>
      </c>
      <c r="P89" s="2">
        <f t="shared" si="101"/>
        <v>696</v>
      </c>
      <c r="Q89" s="2">
        <f t="shared" si="101"/>
        <v>22</v>
      </c>
      <c r="R89" s="2">
        <f t="shared" si="101"/>
        <v>2</v>
      </c>
      <c r="S89" s="2">
        <f t="shared" si="101"/>
        <v>224</v>
      </c>
      <c r="T89" s="2">
        <f t="shared" si="101"/>
        <v>0</v>
      </c>
      <c r="U89" s="2">
        <f>AH89</f>
        <v>24.349685999999998</v>
      </c>
      <c r="V89" s="2">
        <f>AI89</f>
        <v>0.13410359999999999</v>
      </c>
      <c r="W89" s="2">
        <f>ROUND(AJ89,0)</f>
        <v>0</v>
      </c>
      <c r="X89" s="2">
        <f>ROUND(AK89,0)</f>
        <v>234</v>
      </c>
      <c r="Y89" s="2">
        <f>ROUND(AL89,0)</f>
        <v>117</v>
      </c>
      <c r="Z89" s="2"/>
      <c r="AA89" s="2"/>
      <c r="AB89" s="2">
        <f>ROUND(SUMIF(AA82:AA87,"=224527337",O82:O87),0)</f>
        <v>942</v>
      </c>
      <c r="AC89" s="2">
        <f>ROUND(SUMIF(AA82:AA87,"=224527337",P82:P87),0)</f>
        <v>696</v>
      </c>
      <c r="AD89" s="2">
        <f>ROUND(SUMIF(AA82:AA87,"=224527337",Q82:Q87),0)</f>
        <v>22</v>
      </c>
      <c r="AE89" s="2">
        <f>ROUND(SUMIF(AA82:AA87,"=224527337",R82:R87),0)</f>
        <v>2</v>
      </c>
      <c r="AF89" s="2">
        <f>ROUND(SUMIF(AA82:AA87,"=224527337",S82:S87),0)</f>
        <v>224</v>
      </c>
      <c r="AG89" s="2">
        <f>ROUND(SUMIF(AA82:AA87,"=224527337",T82:T87),0)</f>
        <v>0</v>
      </c>
      <c r="AH89" s="2">
        <f>SUMIF(AA82:AA87,"=224527337",U82:U87)</f>
        <v>24.349685999999998</v>
      </c>
      <c r="AI89" s="2">
        <f>SUMIF(AA82:AA87,"=224527337",V82:V87)</f>
        <v>0.13410359999999999</v>
      </c>
      <c r="AJ89" s="2">
        <f>ROUND(SUMIF(AA82:AA87,"=224527337",W82:W87),0)</f>
        <v>0</v>
      </c>
      <c r="AK89" s="2">
        <f>ROUND(SUMIF(AA82:AA87,"=224527337",X82:X87),0)</f>
        <v>234</v>
      </c>
      <c r="AL89" s="2">
        <f>ROUND(SUMIF(AA82:AA87,"=224527337",Y82:Y87),0)</f>
        <v>117</v>
      </c>
      <c r="AM89" s="2"/>
      <c r="AN89" s="2"/>
      <c r="AO89" s="2">
        <f t="shared" ref="AO89:BD89" si="102">ROUND(BX89,0)</f>
        <v>0</v>
      </c>
      <c r="AP89" s="2">
        <f t="shared" si="102"/>
        <v>0</v>
      </c>
      <c r="AQ89" s="2">
        <f t="shared" si="102"/>
        <v>0</v>
      </c>
      <c r="AR89" s="2">
        <f t="shared" si="102"/>
        <v>1293</v>
      </c>
      <c r="AS89" s="2">
        <f t="shared" si="102"/>
        <v>1293</v>
      </c>
      <c r="AT89" s="2">
        <f t="shared" si="102"/>
        <v>0</v>
      </c>
      <c r="AU89" s="2">
        <f t="shared" si="102"/>
        <v>0</v>
      </c>
      <c r="AV89" s="2">
        <f t="shared" si="102"/>
        <v>696</v>
      </c>
      <c r="AW89" s="2">
        <f t="shared" si="102"/>
        <v>696</v>
      </c>
      <c r="AX89" s="2">
        <f t="shared" si="102"/>
        <v>0</v>
      </c>
      <c r="AY89" s="2">
        <f t="shared" si="102"/>
        <v>696</v>
      </c>
      <c r="AZ89" s="2">
        <f t="shared" si="102"/>
        <v>0</v>
      </c>
      <c r="BA89" s="2">
        <f t="shared" si="102"/>
        <v>0</v>
      </c>
      <c r="BB89" s="2">
        <f t="shared" si="102"/>
        <v>0</v>
      </c>
      <c r="BC89" s="2">
        <f t="shared" si="102"/>
        <v>0</v>
      </c>
      <c r="BD89" s="2">
        <f t="shared" si="102"/>
        <v>0</v>
      </c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>
        <f>ROUND(SUMIF(AA82:AA87,"=224527337",FQ82:FQ87),0)</f>
        <v>0</v>
      </c>
      <c r="BY89" s="2">
        <f>ROUND(SUMIF(AA82:AA87,"=224527337",FR82:FR87),0)</f>
        <v>0</v>
      </c>
      <c r="BZ89" s="2">
        <f>ROUND(SUMIF(AA82:AA87,"=224527337",GL82:GL87),0)</f>
        <v>0</v>
      </c>
      <c r="CA89" s="2">
        <f>ROUND(SUMIF(AA82:AA87,"=224527337",GM82:GM87),0)</f>
        <v>1293</v>
      </c>
      <c r="CB89" s="2">
        <f>ROUND(SUMIF(AA82:AA87,"=224527337",GN82:GN87),0)</f>
        <v>1293</v>
      </c>
      <c r="CC89" s="2">
        <f>ROUND(SUMIF(AA82:AA87,"=224527337",GO82:GO87),0)</f>
        <v>0</v>
      </c>
      <c r="CD89" s="2">
        <f>ROUND(SUMIF(AA82:AA87,"=224527337",GP82:GP87),0)</f>
        <v>0</v>
      </c>
      <c r="CE89" s="2">
        <f>AC89-BX89</f>
        <v>696</v>
      </c>
      <c r="CF89" s="2">
        <f>AC89-BY89</f>
        <v>696</v>
      </c>
      <c r="CG89" s="2">
        <f>BX89-BZ89</f>
        <v>0</v>
      </c>
      <c r="CH89" s="2">
        <f>AC89-BX89-BY89+BZ89</f>
        <v>696</v>
      </c>
      <c r="CI89" s="2">
        <f>BY89-BZ89</f>
        <v>0</v>
      </c>
      <c r="CJ89" s="2">
        <f>ROUND(SUMIF(AA82:AA87,"=224527337",GX82:GX87),0)</f>
        <v>0</v>
      </c>
      <c r="CK89" s="2">
        <f>ROUND(SUMIF(AA82:AA87,"=224527337",GY82:GY87),0)</f>
        <v>0</v>
      </c>
      <c r="CL89" s="2">
        <f>ROUND(SUMIF(AA82:AA87,"=224527337",GZ82:GZ87),0)</f>
        <v>0</v>
      </c>
      <c r="CM89" s="2">
        <f>ROUND(SUMIF(AA82:AA87,"=224527337",HD82:HD87),0)</f>
        <v>0</v>
      </c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>
        <v>0</v>
      </c>
    </row>
    <row r="91" spans="1:245" x14ac:dyDescent="0.2">
      <c r="A91" s="4">
        <v>50</v>
      </c>
      <c r="B91" s="4">
        <v>0</v>
      </c>
      <c r="C91" s="4">
        <v>0</v>
      </c>
      <c r="D91" s="4">
        <v>1</v>
      </c>
      <c r="E91" s="4">
        <v>201</v>
      </c>
      <c r="F91" s="4">
        <f>ROUND(Source!O89,O91)</f>
        <v>942</v>
      </c>
      <c r="G91" s="4" t="s">
        <v>120</v>
      </c>
      <c r="H91" s="4" t="s">
        <v>121</v>
      </c>
      <c r="I91" s="4"/>
      <c r="J91" s="4"/>
      <c r="K91" s="4">
        <v>201</v>
      </c>
      <c r="L91" s="4">
        <v>1</v>
      </c>
      <c r="M91" s="4">
        <v>3</v>
      </c>
      <c r="N91" s="4" t="s">
        <v>2</v>
      </c>
      <c r="O91" s="4">
        <v>0</v>
      </c>
      <c r="P91" s="4"/>
      <c r="Q91" s="4"/>
      <c r="R91" s="4"/>
      <c r="S91" s="4"/>
      <c r="T91" s="4"/>
      <c r="U91" s="4"/>
      <c r="V91" s="4"/>
      <c r="W91" s="4"/>
    </row>
    <row r="92" spans="1:245" x14ac:dyDescent="0.2">
      <c r="A92" s="4">
        <v>50</v>
      </c>
      <c r="B92" s="4">
        <v>0</v>
      </c>
      <c r="C92" s="4">
        <v>0</v>
      </c>
      <c r="D92" s="4">
        <v>1</v>
      </c>
      <c r="E92" s="4">
        <v>202</v>
      </c>
      <c r="F92" s="4">
        <f>ROUND(Source!P89,O92)</f>
        <v>696</v>
      </c>
      <c r="G92" s="4" t="s">
        <v>122</v>
      </c>
      <c r="H92" s="4" t="s">
        <v>123</v>
      </c>
      <c r="I92" s="4"/>
      <c r="J92" s="4"/>
      <c r="K92" s="4">
        <v>202</v>
      </c>
      <c r="L92" s="4">
        <v>2</v>
      </c>
      <c r="M92" s="4">
        <v>3</v>
      </c>
      <c r="N92" s="4" t="s">
        <v>2</v>
      </c>
      <c r="O92" s="4">
        <v>0</v>
      </c>
      <c r="P92" s="4"/>
      <c r="Q92" s="4"/>
      <c r="R92" s="4"/>
      <c r="S92" s="4"/>
      <c r="T92" s="4"/>
      <c r="U92" s="4"/>
      <c r="V92" s="4"/>
      <c r="W92" s="4"/>
    </row>
    <row r="93" spans="1:245" x14ac:dyDescent="0.2">
      <c r="A93" s="4">
        <v>50</v>
      </c>
      <c r="B93" s="4">
        <v>0</v>
      </c>
      <c r="C93" s="4">
        <v>0</v>
      </c>
      <c r="D93" s="4">
        <v>1</v>
      </c>
      <c r="E93" s="4">
        <v>222</v>
      </c>
      <c r="F93" s="4">
        <f>ROUND(Source!AO89,O93)</f>
        <v>0</v>
      </c>
      <c r="G93" s="4" t="s">
        <v>124</v>
      </c>
      <c r="H93" s="4" t="s">
        <v>125</v>
      </c>
      <c r="I93" s="4"/>
      <c r="J93" s="4"/>
      <c r="K93" s="4">
        <v>222</v>
      </c>
      <c r="L93" s="4">
        <v>3</v>
      </c>
      <c r="M93" s="4">
        <v>3</v>
      </c>
      <c r="N93" s="4" t="s">
        <v>2</v>
      </c>
      <c r="O93" s="4">
        <v>0</v>
      </c>
      <c r="P93" s="4"/>
      <c r="Q93" s="4"/>
      <c r="R93" s="4"/>
      <c r="S93" s="4"/>
      <c r="T93" s="4"/>
      <c r="U93" s="4"/>
      <c r="V93" s="4"/>
      <c r="W93" s="4"/>
    </row>
    <row r="94" spans="1:245" x14ac:dyDescent="0.2">
      <c r="A94" s="4">
        <v>50</v>
      </c>
      <c r="B94" s="4">
        <v>0</v>
      </c>
      <c r="C94" s="4">
        <v>0</v>
      </c>
      <c r="D94" s="4">
        <v>1</v>
      </c>
      <c r="E94" s="4">
        <v>225</v>
      </c>
      <c r="F94" s="4">
        <f>ROUND(Source!AV89,O94)</f>
        <v>696</v>
      </c>
      <c r="G94" s="4" t="s">
        <v>126</v>
      </c>
      <c r="H94" s="4" t="s">
        <v>127</v>
      </c>
      <c r="I94" s="4"/>
      <c r="J94" s="4"/>
      <c r="K94" s="4">
        <v>225</v>
      </c>
      <c r="L94" s="4">
        <v>4</v>
      </c>
      <c r="M94" s="4">
        <v>3</v>
      </c>
      <c r="N94" s="4" t="s">
        <v>2</v>
      </c>
      <c r="O94" s="4">
        <v>0</v>
      </c>
      <c r="P94" s="4"/>
      <c r="Q94" s="4"/>
      <c r="R94" s="4"/>
      <c r="S94" s="4"/>
      <c r="T94" s="4"/>
      <c r="U94" s="4"/>
      <c r="V94" s="4"/>
      <c r="W94" s="4"/>
    </row>
    <row r="95" spans="1:245" x14ac:dyDescent="0.2">
      <c r="A95" s="4">
        <v>50</v>
      </c>
      <c r="B95" s="4">
        <v>0</v>
      </c>
      <c r="C95" s="4">
        <v>0</v>
      </c>
      <c r="D95" s="4">
        <v>1</v>
      </c>
      <c r="E95" s="4">
        <v>226</v>
      </c>
      <c r="F95" s="4">
        <f>ROUND(Source!AW89,O95)</f>
        <v>696</v>
      </c>
      <c r="G95" s="4" t="s">
        <v>128</v>
      </c>
      <c r="H95" s="4" t="s">
        <v>129</v>
      </c>
      <c r="I95" s="4"/>
      <c r="J95" s="4"/>
      <c r="K95" s="4">
        <v>226</v>
      </c>
      <c r="L95" s="4">
        <v>5</v>
      </c>
      <c r="M95" s="4">
        <v>3</v>
      </c>
      <c r="N95" s="4" t="s">
        <v>2</v>
      </c>
      <c r="O95" s="4">
        <v>0</v>
      </c>
      <c r="P95" s="4"/>
      <c r="Q95" s="4"/>
      <c r="R95" s="4"/>
      <c r="S95" s="4"/>
      <c r="T95" s="4"/>
      <c r="U95" s="4"/>
      <c r="V95" s="4"/>
      <c r="W95" s="4"/>
    </row>
    <row r="96" spans="1:245" x14ac:dyDescent="0.2">
      <c r="A96" s="4">
        <v>50</v>
      </c>
      <c r="B96" s="4">
        <v>0</v>
      </c>
      <c r="C96" s="4">
        <v>0</v>
      </c>
      <c r="D96" s="4">
        <v>1</v>
      </c>
      <c r="E96" s="4">
        <v>227</v>
      </c>
      <c r="F96" s="4">
        <f>ROUND(Source!AX89,O96)</f>
        <v>0</v>
      </c>
      <c r="G96" s="4" t="s">
        <v>130</v>
      </c>
      <c r="H96" s="4" t="s">
        <v>131</v>
      </c>
      <c r="I96" s="4"/>
      <c r="J96" s="4"/>
      <c r="K96" s="4">
        <v>227</v>
      </c>
      <c r="L96" s="4">
        <v>6</v>
      </c>
      <c r="M96" s="4">
        <v>3</v>
      </c>
      <c r="N96" s="4" t="s">
        <v>2</v>
      </c>
      <c r="O96" s="4">
        <v>0</v>
      </c>
      <c r="P96" s="4"/>
      <c r="Q96" s="4"/>
      <c r="R96" s="4"/>
      <c r="S96" s="4"/>
      <c r="T96" s="4"/>
      <c r="U96" s="4"/>
      <c r="V96" s="4"/>
      <c r="W96" s="4"/>
    </row>
    <row r="97" spans="1:23" x14ac:dyDescent="0.2">
      <c r="A97" s="4">
        <v>50</v>
      </c>
      <c r="B97" s="4">
        <v>0</v>
      </c>
      <c r="C97" s="4">
        <v>0</v>
      </c>
      <c r="D97" s="4">
        <v>1</v>
      </c>
      <c r="E97" s="4">
        <v>228</v>
      </c>
      <c r="F97" s="4">
        <f>ROUND(Source!AY89,O97)</f>
        <v>696</v>
      </c>
      <c r="G97" s="4" t="s">
        <v>132</v>
      </c>
      <c r="H97" s="4" t="s">
        <v>133</v>
      </c>
      <c r="I97" s="4"/>
      <c r="J97" s="4"/>
      <c r="K97" s="4">
        <v>228</v>
      </c>
      <c r="L97" s="4">
        <v>7</v>
      </c>
      <c r="M97" s="4">
        <v>3</v>
      </c>
      <c r="N97" s="4" t="s">
        <v>2</v>
      </c>
      <c r="O97" s="4">
        <v>0</v>
      </c>
      <c r="P97" s="4"/>
      <c r="Q97" s="4"/>
      <c r="R97" s="4"/>
      <c r="S97" s="4"/>
      <c r="T97" s="4"/>
      <c r="U97" s="4"/>
      <c r="V97" s="4"/>
      <c r="W97" s="4"/>
    </row>
    <row r="98" spans="1:23" x14ac:dyDescent="0.2">
      <c r="A98" s="4">
        <v>50</v>
      </c>
      <c r="B98" s="4">
        <v>0</v>
      </c>
      <c r="C98" s="4">
        <v>0</v>
      </c>
      <c r="D98" s="4">
        <v>1</v>
      </c>
      <c r="E98" s="4">
        <v>216</v>
      </c>
      <c r="F98" s="4">
        <f>ROUND(Source!AP89,O98)</f>
        <v>0</v>
      </c>
      <c r="G98" s="4" t="s">
        <v>134</v>
      </c>
      <c r="H98" s="4" t="s">
        <v>135</v>
      </c>
      <c r="I98" s="4"/>
      <c r="J98" s="4"/>
      <c r="K98" s="4">
        <v>216</v>
      </c>
      <c r="L98" s="4">
        <v>8</v>
      </c>
      <c r="M98" s="4">
        <v>3</v>
      </c>
      <c r="N98" s="4" t="s">
        <v>2</v>
      </c>
      <c r="O98" s="4">
        <v>0</v>
      </c>
      <c r="P98" s="4"/>
      <c r="Q98" s="4"/>
      <c r="R98" s="4"/>
      <c r="S98" s="4"/>
      <c r="T98" s="4"/>
      <c r="U98" s="4"/>
      <c r="V98" s="4"/>
      <c r="W98" s="4"/>
    </row>
    <row r="99" spans="1:23" x14ac:dyDescent="0.2">
      <c r="A99" s="4">
        <v>50</v>
      </c>
      <c r="B99" s="4">
        <v>0</v>
      </c>
      <c r="C99" s="4">
        <v>0</v>
      </c>
      <c r="D99" s="4">
        <v>1</v>
      </c>
      <c r="E99" s="4">
        <v>223</v>
      </c>
      <c r="F99" s="4">
        <f>ROUND(Source!AQ89,O99)</f>
        <v>0</v>
      </c>
      <c r="G99" s="4" t="s">
        <v>136</v>
      </c>
      <c r="H99" s="4" t="s">
        <v>137</v>
      </c>
      <c r="I99" s="4"/>
      <c r="J99" s="4"/>
      <c r="K99" s="4">
        <v>223</v>
      </c>
      <c r="L99" s="4">
        <v>9</v>
      </c>
      <c r="M99" s="4">
        <v>3</v>
      </c>
      <c r="N99" s="4" t="s">
        <v>2</v>
      </c>
      <c r="O99" s="4">
        <v>0</v>
      </c>
      <c r="P99" s="4"/>
      <c r="Q99" s="4"/>
      <c r="R99" s="4"/>
      <c r="S99" s="4"/>
      <c r="T99" s="4"/>
      <c r="U99" s="4"/>
      <c r="V99" s="4"/>
      <c r="W99" s="4"/>
    </row>
    <row r="100" spans="1:23" x14ac:dyDescent="0.2">
      <c r="A100" s="4">
        <v>50</v>
      </c>
      <c r="B100" s="4">
        <v>0</v>
      </c>
      <c r="C100" s="4">
        <v>0</v>
      </c>
      <c r="D100" s="4">
        <v>1</v>
      </c>
      <c r="E100" s="4">
        <v>229</v>
      </c>
      <c r="F100" s="4">
        <f>ROUND(Source!AZ89,O100)</f>
        <v>0</v>
      </c>
      <c r="G100" s="4" t="s">
        <v>138</v>
      </c>
      <c r="H100" s="4" t="s">
        <v>139</v>
      </c>
      <c r="I100" s="4"/>
      <c r="J100" s="4"/>
      <c r="K100" s="4">
        <v>229</v>
      </c>
      <c r="L100" s="4">
        <v>10</v>
      </c>
      <c r="M100" s="4">
        <v>3</v>
      </c>
      <c r="N100" s="4" t="s">
        <v>2</v>
      </c>
      <c r="O100" s="4">
        <v>0</v>
      </c>
      <c r="P100" s="4"/>
      <c r="Q100" s="4"/>
      <c r="R100" s="4"/>
      <c r="S100" s="4"/>
      <c r="T100" s="4"/>
      <c r="U100" s="4"/>
      <c r="V100" s="4"/>
      <c r="W100" s="4"/>
    </row>
    <row r="101" spans="1:23" x14ac:dyDescent="0.2">
      <c r="A101" s="4">
        <v>50</v>
      </c>
      <c r="B101" s="4">
        <v>0</v>
      </c>
      <c r="C101" s="4">
        <v>0</v>
      </c>
      <c r="D101" s="4">
        <v>1</v>
      </c>
      <c r="E101" s="4">
        <v>203</v>
      </c>
      <c r="F101" s="4">
        <f>ROUND(Source!Q89,O101)</f>
        <v>22</v>
      </c>
      <c r="G101" s="4" t="s">
        <v>140</v>
      </c>
      <c r="H101" s="4" t="s">
        <v>141</v>
      </c>
      <c r="I101" s="4"/>
      <c r="J101" s="4"/>
      <c r="K101" s="4">
        <v>203</v>
      </c>
      <c r="L101" s="4">
        <v>11</v>
      </c>
      <c r="M101" s="4">
        <v>3</v>
      </c>
      <c r="N101" s="4" t="s">
        <v>2</v>
      </c>
      <c r="O101" s="4">
        <v>0</v>
      </c>
      <c r="P101" s="4"/>
      <c r="Q101" s="4"/>
      <c r="R101" s="4"/>
      <c r="S101" s="4"/>
      <c r="T101" s="4"/>
      <c r="U101" s="4"/>
      <c r="V101" s="4"/>
      <c r="W101" s="4"/>
    </row>
    <row r="102" spans="1:23" x14ac:dyDescent="0.2">
      <c r="A102" s="4">
        <v>50</v>
      </c>
      <c r="B102" s="4">
        <v>0</v>
      </c>
      <c r="C102" s="4">
        <v>0</v>
      </c>
      <c r="D102" s="4">
        <v>1</v>
      </c>
      <c r="E102" s="4">
        <v>231</v>
      </c>
      <c r="F102" s="4">
        <f>ROUND(Source!BB89,O102)</f>
        <v>0</v>
      </c>
      <c r="G102" s="4" t="s">
        <v>142</v>
      </c>
      <c r="H102" s="4" t="s">
        <v>143</v>
      </c>
      <c r="I102" s="4"/>
      <c r="J102" s="4"/>
      <c r="K102" s="4">
        <v>231</v>
      </c>
      <c r="L102" s="4">
        <v>12</v>
      </c>
      <c r="M102" s="4">
        <v>3</v>
      </c>
      <c r="N102" s="4" t="s">
        <v>2</v>
      </c>
      <c r="O102" s="4">
        <v>0</v>
      </c>
      <c r="P102" s="4"/>
      <c r="Q102" s="4"/>
      <c r="R102" s="4"/>
      <c r="S102" s="4"/>
      <c r="T102" s="4"/>
      <c r="U102" s="4"/>
      <c r="V102" s="4"/>
      <c r="W102" s="4"/>
    </row>
    <row r="103" spans="1:23" x14ac:dyDescent="0.2">
      <c r="A103" s="4">
        <v>50</v>
      </c>
      <c r="B103" s="4">
        <v>0</v>
      </c>
      <c r="C103" s="4">
        <v>0</v>
      </c>
      <c r="D103" s="4">
        <v>1</v>
      </c>
      <c r="E103" s="4">
        <v>204</v>
      </c>
      <c r="F103" s="4">
        <f>ROUND(Source!R89,O103)</f>
        <v>2</v>
      </c>
      <c r="G103" s="4" t="s">
        <v>144</v>
      </c>
      <c r="H103" s="4" t="s">
        <v>145</v>
      </c>
      <c r="I103" s="4"/>
      <c r="J103" s="4"/>
      <c r="K103" s="4">
        <v>204</v>
      </c>
      <c r="L103" s="4">
        <v>13</v>
      </c>
      <c r="M103" s="4">
        <v>3</v>
      </c>
      <c r="N103" s="4" t="s">
        <v>2</v>
      </c>
      <c r="O103" s="4">
        <v>0</v>
      </c>
      <c r="P103" s="4"/>
      <c r="Q103" s="4"/>
      <c r="R103" s="4"/>
      <c r="S103" s="4"/>
      <c r="T103" s="4"/>
      <c r="U103" s="4"/>
      <c r="V103" s="4"/>
      <c r="W103" s="4"/>
    </row>
    <row r="104" spans="1:23" x14ac:dyDescent="0.2">
      <c r="A104" s="4">
        <v>50</v>
      </c>
      <c r="B104" s="4">
        <v>0</v>
      </c>
      <c r="C104" s="4">
        <v>0</v>
      </c>
      <c r="D104" s="4">
        <v>1</v>
      </c>
      <c r="E104" s="4">
        <v>205</v>
      </c>
      <c r="F104" s="4">
        <f>ROUND(Source!S89,O104)</f>
        <v>224</v>
      </c>
      <c r="G104" s="4" t="s">
        <v>146</v>
      </c>
      <c r="H104" s="4" t="s">
        <v>147</v>
      </c>
      <c r="I104" s="4"/>
      <c r="J104" s="4"/>
      <c r="K104" s="4">
        <v>205</v>
      </c>
      <c r="L104" s="4">
        <v>14</v>
      </c>
      <c r="M104" s="4">
        <v>3</v>
      </c>
      <c r="N104" s="4" t="s">
        <v>2</v>
      </c>
      <c r="O104" s="4">
        <v>0</v>
      </c>
      <c r="P104" s="4"/>
      <c r="Q104" s="4"/>
      <c r="R104" s="4"/>
      <c r="S104" s="4"/>
      <c r="T104" s="4"/>
      <c r="U104" s="4"/>
      <c r="V104" s="4"/>
      <c r="W104" s="4"/>
    </row>
    <row r="105" spans="1:23" x14ac:dyDescent="0.2">
      <c r="A105" s="4">
        <v>50</v>
      </c>
      <c r="B105" s="4">
        <v>0</v>
      </c>
      <c r="C105" s="4">
        <v>0</v>
      </c>
      <c r="D105" s="4">
        <v>1</v>
      </c>
      <c r="E105" s="4">
        <v>232</v>
      </c>
      <c r="F105" s="4">
        <f>ROUND(Source!BC89,O105)</f>
        <v>0</v>
      </c>
      <c r="G105" s="4" t="s">
        <v>148</v>
      </c>
      <c r="H105" s="4" t="s">
        <v>149</v>
      </c>
      <c r="I105" s="4"/>
      <c r="J105" s="4"/>
      <c r="K105" s="4">
        <v>232</v>
      </c>
      <c r="L105" s="4">
        <v>15</v>
      </c>
      <c r="M105" s="4">
        <v>3</v>
      </c>
      <c r="N105" s="4" t="s">
        <v>2</v>
      </c>
      <c r="O105" s="4">
        <v>0</v>
      </c>
      <c r="P105" s="4"/>
      <c r="Q105" s="4"/>
      <c r="R105" s="4"/>
      <c r="S105" s="4"/>
      <c r="T105" s="4"/>
      <c r="U105" s="4"/>
      <c r="V105" s="4"/>
      <c r="W105" s="4"/>
    </row>
    <row r="106" spans="1:23" x14ac:dyDescent="0.2">
      <c r="A106" s="4">
        <v>50</v>
      </c>
      <c r="B106" s="4">
        <v>0</v>
      </c>
      <c r="C106" s="4">
        <v>0</v>
      </c>
      <c r="D106" s="4">
        <v>1</v>
      </c>
      <c r="E106" s="4">
        <v>214</v>
      </c>
      <c r="F106" s="4">
        <f>ROUND(Source!AS89,O106)</f>
        <v>1293</v>
      </c>
      <c r="G106" s="4" t="s">
        <v>150</v>
      </c>
      <c r="H106" s="4" t="s">
        <v>151</v>
      </c>
      <c r="I106" s="4"/>
      <c r="J106" s="4"/>
      <c r="K106" s="4">
        <v>214</v>
      </c>
      <c r="L106" s="4">
        <v>16</v>
      </c>
      <c r="M106" s="4">
        <v>3</v>
      </c>
      <c r="N106" s="4" t="s">
        <v>2</v>
      </c>
      <c r="O106" s="4">
        <v>0</v>
      </c>
      <c r="P106" s="4"/>
      <c r="Q106" s="4"/>
      <c r="R106" s="4"/>
      <c r="S106" s="4"/>
      <c r="T106" s="4"/>
      <c r="U106" s="4"/>
      <c r="V106" s="4"/>
      <c r="W106" s="4"/>
    </row>
    <row r="107" spans="1:23" x14ac:dyDescent="0.2">
      <c r="A107" s="4">
        <v>50</v>
      </c>
      <c r="B107" s="4">
        <v>0</v>
      </c>
      <c r="C107" s="4">
        <v>0</v>
      </c>
      <c r="D107" s="4">
        <v>1</v>
      </c>
      <c r="E107" s="4">
        <v>215</v>
      </c>
      <c r="F107" s="4">
        <f>ROUND(Source!AT89,O107)</f>
        <v>0</v>
      </c>
      <c r="G107" s="4" t="s">
        <v>152</v>
      </c>
      <c r="H107" s="4" t="s">
        <v>153</v>
      </c>
      <c r="I107" s="4"/>
      <c r="J107" s="4"/>
      <c r="K107" s="4">
        <v>215</v>
      </c>
      <c r="L107" s="4">
        <v>17</v>
      </c>
      <c r="M107" s="4">
        <v>3</v>
      </c>
      <c r="N107" s="4" t="s">
        <v>2</v>
      </c>
      <c r="O107" s="4">
        <v>0</v>
      </c>
      <c r="P107" s="4"/>
      <c r="Q107" s="4"/>
      <c r="R107" s="4"/>
      <c r="S107" s="4"/>
      <c r="T107" s="4"/>
      <c r="U107" s="4"/>
      <c r="V107" s="4"/>
      <c r="W107" s="4"/>
    </row>
    <row r="108" spans="1:23" x14ac:dyDescent="0.2">
      <c r="A108" s="4">
        <v>50</v>
      </c>
      <c r="B108" s="4">
        <v>0</v>
      </c>
      <c r="C108" s="4">
        <v>0</v>
      </c>
      <c r="D108" s="4">
        <v>1</v>
      </c>
      <c r="E108" s="4">
        <v>217</v>
      </c>
      <c r="F108" s="4">
        <f>ROUND(Source!AU89,O108)</f>
        <v>0</v>
      </c>
      <c r="G108" s="4" t="s">
        <v>154</v>
      </c>
      <c r="H108" s="4" t="s">
        <v>155</v>
      </c>
      <c r="I108" s="4"/>
      <c r="J108" s="4"/>
      <c r="K108" s="4">
        <v>217</v>
      </c>
      <c r="L108" s="4">
        <v>18</v>
      </c>
      <c r="M108" s="4">
        <v>3</v>
      </c>
      <c r="N108" s="4" t="s">
        <v>2</v>
      </c>
      <c r="O108" s="4">
        <v>0</v>
      </c>
      <c r="P108" s="4"/>
      <c r="Q108" s="4"/>
      <c r="R108" s="4"/>
      <c r="S108" s="4"/>
      <c r="T108" s="4"/>
      <c r="U108" s="4"/>
      <c r="V108" s="4"/>
      <c r="W108" s="4"/>
    </row>
    <row r="109" spans="1:23" x14ac:dyDescent="0.2">
      <c r="A109" s="4">
        <v>50</v>
      </c>
      <c r="B109" s="4">
        <v>0</v>
      </c>
      <c r="C109" s="4">
        <v>0</v>
      </c>
      <c r="D109" s="4">
        <v>1</v>
      </c>
      <c r="E109" s="4">
        <v>230</v>
      </c>
      <c r="F109" s="4">
        <f>ROUND(Source!BA89,O109)</f>
        <v>0</v>
      </c>
      <c r="G109" s="4" t="s">
        <v>156</v>
      </c>
      <c r="H109" s="4" t="s">
        <v>157</v>
      </c>
      <c r="I109" s="4"/>
      <c r="J109" s="4"/>
      <c r="K109" s="4">
        <v>230</v>
      </c>
      <c r="L109" s="4">
        <v>19</v>
      </c>
      <c r="M109" s="4">
        <v>3</v>
      </c>
      <c r="N109" s="4" t="s">
        <v>2</v>
      </c>
      <c r="O109" s="4">
        <v>0</v>
      </c>
      <c r="P109" s="4"/>
      <c r="Q109" s="4"/>
      <c r="R109" s="4"/>
      <c r="S109" s="4"/>
      <c r="T109" s="4"/>
      <c r="U109" s="4"/>
      <c r="V109" s="4"/>
      <c r="W109" s="4"/>
    </row>
    <row r="110" spans="1:23" x14ac:dyDescent="0.2">
      <c r="A110" s="4">
        <v>50</v>
      </c>
      <c r="B110" s="4">
        <v>0</v>
      </c>
      <c r="C110" s="4">
        <v>0</v>
      </c>
      <c r="D110" s="4">
        <v>1</v>
      </c>
      <c r="E110" s="4">
        <v>206</v>
      </c>
      <c r="F110" s="4">
        <f>ROUND(Source!T89,O110)</f>
        <v>0</v>
      </c>
      <c r="G110" s="4" t="s">
        <v>158</v>
      </c>
      <c r="H110" s="4" t="s">
        <v>159</v>
      </c>
      <c r="I110" s="4"/>
      <c r="J110" s="4"/>
      <c r="K110" s="4">
        <v>206</v>
      </c>
      <c r="L110" s="4">
        <v>20</v>
      </c>
      <c r="M110" s="4">
        <v>3</v>
      </c>
      <c r="N110" s="4" t="s">
        <v>2</v>
      </c>
      <c r="O110" s="4">
        <v>0</v>
      </c>
      <c r="P110" s="4"/>
      <c r="Q110" s="4"/>
      <c r="R110" s="4"/>
      <c r="S110" s="4"/>
      <c r="T110" s="4"/>
      <c r="U110" s="4"/>
      <c r="V110" s="4"/>
      <c r="W110" s="4"/>
    </row>
    <row r="111" spans="1:23" x14ac:dyDescent="0.2">
      <c r="A111" s="4">
        <v>50</v>
      </c>
      <c r="B111" s="4">
        <v>0</v>
      </c>
      <c r="C111" s="4">
        <v>0</v>
      </c>
      <c r="D111" s="4">
        <v>1</v>
      </c>
      <c r="E111" s="4">
        <v>207</v>
      </c>
      <c r="F111" s="4">
        <f>Source!U89</f>
        <v>24.349685999999998</v>
      </c>
      <c r="G111" s="4" t="s">
        <v>160</v>
      </c>
      <c r="H111" s="4" t="s">
        <v>161</v>
      </c>
      <c r="I111" s="4"/>
      <c r="J111" s="4"/>
      <c r="K111" s="4">
        <v>207</v>
      </c>
      <c r="L111" s="4">
        <v>21</v>
      </c>
      <c r="M111" s="4">
        <v>3</v>
      </c>
      <c r="N111" s="4" t="s">
        <v>2</v>
      </c>
      <c r="O111" s="4">
        <v>-1</v>
      </c>
      <c r="P111" s="4"/>
      <c r="Q111" s="4"/>
      <c r="R111" s="4"/>
      <c r="S111" s="4"/>
      <c r="T111" s="4"/>
      <c r="U111" s="4"/>
      <c r="V111" s="4"/>
      <c r="W111" s="4"/>
    </row>
    <row r="112" spans="1:23" x14ac:dyDescent="0.2">
      <c r="A112" s="4">
        <v>50</v>
      </c>
      <c r="B112" s="4">
        <v>0</v>
      </c>
      <c r="C112" s="4">
        <v>0</v>
      </c>
      <c r="D112" s="4">
        <v>1</v>
      </c>
      <c r="E112" s="4">
        <v>208</v>
      </c>
      <c r="F112" s="4">
        <f>Source!V89</f>
        <v>0.13410359999999999</v>
      </c>
      <c r="G112" s="4" t="s">
        <v>162</v>
      </c>
      <c r="H112" s="4" t="s">
        <v>163</v>
      </c>
      <c r="I112" s="4"/>
      <c r="J112" s="4"/>
      <c r="K112" s="4">
        <v>208</v>
      </c>
      <c r="L112" s="4">
        <v>22</v>
      </c>
      <c r="M112" s="4">
        <v>3</v>
      </c>
      <c r="N112" s="4" t="s">
        <v>2</v>
      </c>
      <c r="O112" s="4">
        <v>-1</v>
      </c>
      <c r="P112" s="4"/>
      <c r="Q112" s="4"/>
      <c r="R112" s="4"/>
      <c r="S112" s="4"/>
      <c r="T112" s="4"/>
      <c r="U112" s="4"/>
      <c r="V112" s="4"/>
      <c r="W112" s="4"/>
    </row>
    <row r="113" spans="1:245" x14ac:dyDescent="0.2">
      <c r="A113" s="4">
        <v>50</v>
      </c>
      <c r="B113" s="4">
        <v>0</v>
      </c>
      <c r="C113" s="4">
        <v>0</v>
      </c>
      <c r="D113" s="4">
        <v>1</v>
      </c>
      <c r="E113" s="4">
        <v>209</v>
      </c>
      <c r="F113" s="4">
        <f>ROUND(Source!W89,O113)</f>
        <v>0</v>
      </c>
      <c r="G113" s="4" t="s">
        <v>164</v>
      </c>
      <c r="H113" s="4" t="s">
        <v>165</v>
      </c>
      <c r="I113" s="4"/>
      <c r="J113" s="4"/>
      <c r="K113" s="4">
        <v>209</v>
      </c>
      <c r="L113" s="4">
        <v>23</v>
      </c>
      <c r="M113" s="4">
        <v>3</v>
      </c>
      <c r="N113" s="4" t="s">
        <v>2</v>
      </c>
      <c r="O113" s="4">
        <v>0</v>
      </c>
      <c r="P113" s="4"/>
      <c r="Q113" s="4"/>
      <c r="R113" s="4"/>
      <c r="S113" s="4"/>
      <c r="T113" s="4"/>
      <c r="U113" s="4"/>
      <c r="V113" s="4"/>
      <c r="W113" s="4"/>
    </row>
    <row r="114" spans="1:245" x14ac:dyDescent="0.2">
      <c r="A114" s="4">
        <v>50</v>
      </c>
      <c r="B114" s="4">
        <v>0</v>
      </c>
      <c r="C114" s="4">
        <v>0</v>
      </c>
      <c r="D114" s="4">
        <v>1</v>
      </c>
      <c r="E114" s="4">
        <v>233</v>
      </c>
      <c r="F114" s="4">
        <f>ROUND(Source!BD89,O114)</f>
        <v>0</v>
      </c>
      <c r="G114" s="4" t="s">
        <v>166</v>
      </c>
      <c r="H114" s="4" t="s">
        <v>167</v>
      </c>
      <c r="I114" s="4"/>
      <c r="J114" s="4"/>
      <c r="K114" s="4">
        <v>233</v>
      </c>
      <c r="L114" s="4">
        <v>24</v>
      </c>
      <c r="M114" s="4">
        <v>3</v>
      </c>
      <c r="N114" s="4" t="s">
        <v>2</v>
      </c>
      <c r="O114" s="4">
        <v>0</v>
      </c>
      <c r="P114" s="4"/>
      <c r="Q114" s="4"/>
      <c r="R114" s="4"/>
      <c r="S114" s="4"/>
      <c r="T114" s="4"/>
      <c r="U114" s="4"/>
      <c r="V114" s="4"/>
      <c r="W114" s="4"/>
    </row>
    <row r="115" spans="1:245" x14ac:dyDescent="0.2">
      <c r="A115" s="4">
        <v>50</v>
      </c>
      <c r="B115" s="4">
        <v>0</v>
      </c>
      <c r="C115" s="4">
        <v>0</v>
      </c>
      <c r="D115" s="4">
        <v>1</v>
      </c>
      <c r="E115" s="4">
        <v>210</v>
      </c>
      <c r="F115" s="4">
        <f>ROUND(Source!X89,O115)</f>
        <v>234</v>
      </c>
      <c r="G115" s="4" t="s">
        <v>168</v>
      </c>
      <c r="H115" s="4" t="s">
        <v>169</v>
      </c>
      <c r="I115" s="4"/>
      <c r="J115" s="4"/>
      <c r="K115" s="4">
        <v>210</v>
      </c>
      <c r="L115" s="4">
        <v>25</v>
      </c>
      <c r="M115" s="4">
        <v>3</v>
      </c>
      <c r="N115" s="4" t="s">
        <v>2</v>
      </c>
      <c r="O115" s="4">
        <v>0</v>
      </c>
      <c r="P115" s="4"/>
      <c r="Q115" s="4"/>
      <c r="R115" s="4"/>
      <c r="S115" s="4"/>
      <c r="T115" s="4"/>
      <c r="U115" s="4"/>
      <c r="V115" s="4"/>
      <c r="W115" s="4"/>
    </row>
    <row r="116" spans="1:245" x14ac:dyDescent="0.2">
      <c r="A116" s="4">
        <v>50</v>
      </c>
      <c r="B116" s="4">
        <v>0</v>
      </c>
      <c r="C116" s="4">
        <v>0</v>
      </c>
      <c r="D116" s="4">
        <v>1</v>
      </c>
      <c r="E116" s="4">
        <v>211</v>
      </c>
      <c r="F116" s="4">
        <f>ROUND(Source!Y89,O116)</f>
        <v>117</v>
      </c>
      <c r="G116" s="4" t="s">
        <v>170</v>
      </c>
      <c r="H116" s="4" t="s">
        <v>171</v>
      </c>
      <c r="I116" s="4"/>
      <c r="J116" s="4"/>
      <c r="K116" s="4">
        <v>211</v>
      </c>
      <c r="L116" s="4">
        <v>26</v>
      </c>
      <c r="M116" s="4">
        <v>3</v>
      </c>
      <c r="N116" s="4" t="s">
        <v>2</v>
      </c>
      <c r="O116" s="4">
        <v>0</v>
      </c>
      <c r="P116" s="4"/>
      <c r="Q116" s="4"/>
      <c r="R116" s="4"/>
      <c r="S116" s="4"/>
      <c r="T116" s="4"/>
      <c r="U116" s="4"/>
      <c r="V116" s="4"/>
      <c r="W116" s="4"/>
    </row>
    <row r="117" spans="1:245" x14ac:dyDescent="0.2">
      <c r="A117" s="4">
        <v>50</v>
      </c>
      <c r="B117" s="4">
        <v>0</v>
      </c>
      <c r="C117" s="4">
        <v>0</v>
      </c>
      <c r="D117" s="4">
        <v>1</v>
      </c>
      <c r="E117" s="4">
        <v>224</v>
      </c>
      <c r="F117" s="4">
        <f>ROUND(Source!AR89,O117)</f>
        <v>1293</v>
      </c>
      <c r="G117" s="4" t="s">
        <v>172</v>
      </c>
      <c r="H117" s="4" t="s">
        <v>173</v>
      </c>
      <c r="I117" s="4"/>
      <c r="J117" s="4"/>
      <c r="K117" s="4">
        <v>224</v>
      </c>
      <c r="L117" s="4">
        <v>27</v>
      </c>
      <c r="M117" s="4">
        <v>3</v>
      </c>
      <c r="N117" s="4" t="s">
        <v>2</v>
      </c>
      <c r="O117" s="4">
        <v>0</v>
      </c>
      <c r="P117" s="4"/>
      <c r="Q117" s="4"/>
      <c r="R117" s="4"/>
      <c r="S117" s="4"/>
      <c r="T117" s="4"/>
      <c r="U117" s="4"/>
      <c r="V117" s="4"/>
      <c r="W117" s="4"/>
    </row>
    <row r="119" spans="1:245" x14ac:dyDescent="0.2">
      <c r="A119" s="1">
        <v>4</v>
      </c>
      <c r="B119" s="1">
        <v>1</v>
      </c>
      <c r="C119" s="1"/>
      <c r="D119" s="1">
        <f>ROW(A130)</f>
        <v>130</v>
      </c>
      <c r="E119" s="1"/>
      <c r="F119" s="1" t="s">
        <v>13</v>
      </c>
      <c r="G119" s="1" t="s">
        <v>211</v>
      </c>
      <c r="H119" s="1" t="s">
        <v>2</v>
      </c>
      <c r="I119" s="1">
        <v>0</v>
      </c>
      <c r="J119" s="1"/>
      <c r="K119" s="1">
        <v>0</v>
      </c>
      <c r="L119" s="1"/>
      <c r="M119" s="1" t="s">
        <v>2</v>
      </c>
      <c r="N119" s="1"/>
      <c r="O119" s="1"/>
      <c r="P119" s="1"/>
      <c r="Q119" s="1"/>
      <c r="R119" s="1"/>
      <c r="S119" s="1">
        <v>0</v>
      </c>
      <c r="T119" s="1"/>
      <c r="U119" s="1" t="s">
        <v>2</v>
      </c>
      <c r="V119" s="1">
        <v>0</v>
      </c>
      <c r="W119" s="1"/>
      <c r="X119" s="1"/>
      <c r="Y119" s="1"/>
      <c r="Z119" s="1"/>
      <c r="AA119" s="1"/>
      <c r="AB119" s="1" t="s">
        <v>2</v>
      </c>
      <c r="AC119" s="1" t="s">
        <v>2</v>
      </c>
      <c r="AD119" s="1" t="s">
        <v>2</v>
      </c>
      <c r="AE119" s="1" t="s">
        <v>2</v>
      </c>
      <c r="AF119" s="1" t="s">
        <v>2</v>
      </c>
      <c r="AG119" s="1" t="s">
        <v>2</v>
      </c>
      <c r="AH119" s="1"/>
      <c r="AI119" s="1"/>
      <c r="AJ119" s="1"/>
      <c r="AK119" s="1"/>
      <c r="AL119" s="1"/>
      <c r="AM119" s="1"/>
      <c r="AN119" s="1"/>
      <c r="AO119" s="1"/>
      <c r="AP119" s="1" t="s">
        <v>2</v>
      </c>
      <c r="AQ119" s="1" t="s">
        <v>2</v>
      </c>
      <c r="AR119" s="1" t="s">
        <v>2</v>
      </c>
      <c r="AS119" s="1"/>
      <c r="AT119" s="1"/>
      <c r="AU119" s="1"/>
      <c r="AV119" s="1"/>
      <c r="AW119" s="1"/>
      <c r="AX119" s="1"/>
      <c r="AY119" s="1"/>
      <c r="AZ119" s="1" t="s">
        <v>2</v>
      </c>
      <c r="BA119" s="1"/>
      <c r="BB119" s="1" t="s">
        <v>2</v>
      </c>
      <c r="BC119" s="1" t="s">
        <v>2</v>
      </c>
      <c r="BD119" s="1" t="s">
        <v>2</v>
      </c>
      <c r="BE119" s="1" t="s">
        <v>2</v>
      </c>
      <c r="BF119" s="1" t="s">
        <v>2</v>
      </c>
      <c r="BG119" s="1" t="s">
        <v>2</v>
      </c>
      <c r="BH119" s="1" t="s">
        <v>2</v>
      </c>
      <c r="BI119" s="1" t="s">
        <v>2</v>
      </c>
      <c r="BJ119" s="1" t="s">
        <v>2</v>
      </c>
      <c r="BK119" s="1" t="s">
        <v>2</v>
      </c>
      <c r="BL119" s="1" t="s">
        <v>2</v>
      </c>
      <c r="BM119" s="1" t="s">
        <v>2</v>
      </c>
      <c r="BN119" s="1" t="s">
        <v>2</v>
      </c>
      <c r="BO119" s="1" t="s">
        <v>2</v>
      </c>
      <c r="BP119" s="1" t="s">
        <v>2</v>
      </c>
      <c r="BQ119" s="1"/>
      <c r="BR119" s="1"/>
      <c r="BS119" s="1"/>
      <c r="BT119" s="1"/>
      <c r="BU119" s="1"/>
      <c r="BV119" s="1"/>
      <c r="BW119" s="1"/>
      <c r="BX119" s="1">
        <v>0</v>
      </c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>
        <v>0</v>
      </c>
    </row>
    <row r="121" spans="1:245" x14ac:dyDescent="0.2">
      <c r="A121" s="2">
        <v>52</v>
      </c>
      <c r="B121" s="2">
        <f t="shared" ref="B121:G121" si="103">B130</f>
        <v>1</v>
      </c>
      <c r="C121" s="2">
        <f t="shared" si="103"/>
        <v>4</v>
      </c>
      <c r="D121" s="2">
        <f t="shared" si="103"/>
        <v>119</v>
      </c>
      <c r="E121" s="2">
        <f t="shared" si="103"/>
        <v>0</v>
      </c>
      <c r="F121" s="2" t="str">
        <f t="shared" si="103"/>
        <v>Новый раздел</v>
      </c>
      <c r="G121" s="2" t="str">
        <f t="shared" si="103"/>
        <v>Помещение распределительных устройств</v>
      </c>
      <c r="H121" s="2"/>
      <c r="I121" s="2"/>
      <c r="J121" s="2"/>
      <c r="K121" s="2"/>
      <c r="L121" s="2"/>
      <c r="M121" s="2"/>
      <c r="N121" s="2"/>
      <c r="O121" s="2">
        <f t="shared" ref="O121:AT121" si="104">O130</f>
        <v>508</v>
      </c>
      <c r="P121" s="2">
        <f t="shared" si="104"/>
        <v>73</v>
      </c>
      <c r="Q121" s="2">
        <f t="shared" si="104"/>
        <v>249</v>
      </c>
      <c r="R121" s="2">
        <f t="shared" si="104"/>
        <v>0</v>
      </c>
      <c r="S121" s="2">
        <f t="shared" si="104"/>
        <v>186</v>
      </c>
      <c r="T121" s="2">
        <f t="shared" si="104"/>
        <v>0</v>
      </c>
      <c r="U121" s="2">
        <f t="shared" si="104"/>
        <v>20.963339499999996</v>
      </c>
      <c r="V121" s="2">
        <f t="shared" si="104"/>
        <v>8.9700000000000023E-3</v>
      </c>
      <c r="W121" s="2">
        <f t="shared" si="104"/>
        <v>0</v>
      </c>
      <c r="X121" s="2">
        <f t="shared" si="104"/>
        <v>179</v>
      </c>
      <c r="Y121" s="2">
        <f t="shared" si="104"/>
        <v>87</v>
      </c>
      <c r="Z121" s="2">
        <f t="shared" si="104"/>
        <v>0</v>
      </c>
      <c r="AA121" s="2">
        <f t="shared" si="104"/>
        <v>0</v>
      </c>
      <c r="AB121" s="2">
        <f t="shared" si="104"/>
        <v>508</v>
      </c>
      <c r="AC121" s="2">
        <f t="shared" si="104"/>
        <v>73</v>
      </c>
      <c r="AD121" s="2">
        <f t="shared" si="104"/>
        <v>249</v>
      </c>
      <c r="AE121" s="2">
        <f t="shared" si="104"/>
        <v>0</v>
      </c>
      <c r="AF121" s="2">
        <f t="shared" si="104"/>
        <v>186</v>
      </c>
      <c r="AG121" s="2">
        <f t="shared" si="104"/>
        <v>0</v>
      </c>
      <c r="AH121" s="2">
        <f t="shared" si="104"/>
        <v>20.963339499999996</v>
      </c>
      <c r="AI121" s="2">
        <f t="shared" si="104"/>
        <v>8.9700000000000023E-3</v>
      </c>
      <c r="AJ121" s="2">
        <f t="shared" si="104"/>
        <v>0</v>
      </c>
      <c r="AK121" s="2">
        <f t="shared" si="104"/>
        <v>179</v>
      </c>
      <c r="AL121" s="2">
        <f t="shared" si="104"/>
        <v>87</v>
      </c>
      <c r="AM121" s="2">
        <f t="shared" si="104"/>
        <v>0</v>
      </c>
      <c r="AN121" s="2">
        <f t="shared" si="104"/>
        <v>0</v>
      </c>
      <c r="AO121" s="2">
        <f t="shared" si="104"/>
        <v>0</v>
      </c>
      <c r="AP121" s="2">
        <f t="shared" si="104"/>
        <v>0</v>
      </c>
      <c r="AQ121" s="2">
        <f t="shared" si="104"/>
        <v>0</v>
      </c>
      <c r="AR121" s="2">
        <f t="shared" si="104"/>
        <v>774</v>
      </c>
      <c r="AS121" s="2">
        <f t="shared" si="104"/>
        <v>558</v>
      </c>
      <c r="AT121" s="2">
        <f t="shared" si="104"/>
        <v>216</v>
      </c>
      <c r="AU121" s="2">
        <f t="shared" ref="AU121:BZ121" si="105">AU130</f>
        <v>0</v>
      </c>
      <c r="AV121" s="2">
        <f t="shared" si="105"/>
        <v>73</v>
      </c>
      <c r="AW121" s="2">
        <f t="shared" si="105"/>
        <v>73</v>
      </c>
      <c r="AX121" s="2">
        <f t="shared" si="105"/>
        <v>0</v>
      </c>
      <c r="AY121" s="2">
        <f t="shared" si="105"/>
        <v>73</v>
      </c>
      <c r="AZ121" s="2">
        <f t="shared" si="105"/>
        <v>0</v>
      </c>
      <c r="BA121" s="2">
        <f t="shared" si="105"/>
        <v>0</v>
      </c>
      <c r="BB121" s="2">
        <f t="shared" si="105"/>
        <v>0</v>
      </c>
      <c r="BC121" s="2">
        <f t="shared" si="105"/>
        <v>0</v>
      </c>
      <c r="BD121" s="2">
        <f t="shared" si="105"/>
        <v>0</v>
      </c>
      <c r="BE121" s="2">
        <f t="shared" si="105"/>
        <v>0</v>
      </c>
      <c r="BF121" s="2">
        <f t="shared" si="105"/>
        <v>0</v>
      </c>
      <c r="BG121" s="2">
        <f t="shared" si="105"/>
        <v>0</v>
      </c>
      <c r="BH121" s="2">
        <f t="shared" si="105"/>
        <v>0</v>
      </c>
      <c r="BI121" s="2">
        <f t="shared" si="105"/>
        <v>0</v>
      </c>
      <c r="BJ121" s="2">
        <f t="shared" si="105"/>
        <v>0</v>
      </c>
      <c r="BK121" s="2">
        <f t="shared" si="105"/>
        <v>0</v>
      </c>
      <c r="BL121" s="2">
        <f t="shared" si="105"/>
        <v>0</v>
      </c>
      <c r="BM121" s="2">
        <f t="shared" si="105"/>
        <v>0</v>
      </c>
      <c r="BN121" s="2">
        <f t="shared" si="105"/>
        <v>0</v>
      </c>
      <c r="BO121" s="2">
        <f t="shared" si="105"/>
        <v>0</v>
      </c>
      <c r="BP121" s="2">
        <f t="shared" si="105"/>
        <v>0</v>
      </c>
      <c r="BQ121" s="2">
        <f t="shared" si="105"/>
        <v>0</v>
      </c>
      <c r="BR121" s="2">
        <f t="shared" si="105"/>
        <v>0</v>
      </c>
      <c r="BS121" s="2">
        <f t="shared" si="105"/>
        <v>0</v>
      </c>
      <c r="BT121" s="2">
        <f t="shared" si="105"/>
        <v>0</v>
      </c>
      <c r="BU121" s="2">
        <f t="shared" si="105"/>
        <v>0</v>
      </c>
      <c r="BV121" s="2">
        <f t="shared" si="105"/>
        <v>0</v>
      </c>
      <c r="BW121" s="2">
        <f t="shared" si="105"/>
        <v>0</v>
      </c>
      <c r="BX121" s="2">
        <f t="shared" si="105"/>
        <v>0</v>
      </c>
      <c r="BY121" s="2">
        <f t="shared" si="105"/>
        <v>0</v>
      </c>
      <c r="BZ121" s="2">
        <f t="shared" si="105"/>
        <v>0</v>
      </c>
      <c r="CA121" s="2">
        <f t="shared" ref="CA121:DF121" si="106">CA130</f>
        <v>774</v>
      </c>
      <c r="CB121" s="2">
        <f t="shared" si="106"/>
        <v>558</v>
      </c>
      <c r="CC121" s="2">
        <f t="shared" si="106"/>
        <v>216</v>
      </c>
      <c r="CD121" s="2">
        <f t="shared" si="106"/>
        <v>0</v>
      </c>
      <c r="CE121" s="2">
        <f t="shared" si="106"/>
        <v>73</v>
      </c>
      <c r="CF121" s="2">
        <f t="shared" si="106"/>
        <v>73</v>
      </c>
      <c r="CG121" s="2">
        <f t="shared" si="106"/>
        <v>0</v>
      </c>
      <c r="CH121" s="2">
        <f t="shared" si="106"/>
        <v>73</v>
      </c>
      <c r="CI121" s="2">
        <f t="shared" si="106"/>
        <v>0</v>
      </c>
      <c r="CJ121" s="2">
        <f t="shared" si="106"/>
        <v>0</v>
      </c>
      <c r="CK121" s="2">
        <f t="shared" si="106"/>
        <v>0</v>
      </c>
      <c r="CL121" s="2">
        <f t="shared" si="106"/>
        <v>0</v>
      </c>
      <c r="CM121" s="2">
        <f t="shared" si="106"/>
        <v>0</v>
      </c>
      <c r="CN121" s="2">
        <f t="shared" si="106"/>
        <v>0</v>
      </c>
      <c r="CO121" s="2">
        <f t="shared" si="106"/>
        <v>0</v>
      </c>
      <c r="CP121" s="2">
        <f t="shared" si="106"/>
        <v>0</v>
      </c>
      <c r="CQ121" s="2">
        <f t="shared" si="106"/>
        <v>0</v>
      </c>
      <c r="CR121" s="2">
        <f t="shared" si="106"/>
        <v>0</v>
      </c>
      <c r="CS121" s="2">
        <f t="shared" si="106"/>
        <v>0</v>
      </c>
      <c r="CT121" s="2">
        <f t="shared" si="106"/>
        <v>0</v>
      </c>
      <c r="CU121" s="2">
        <f t="shared" si="106"/>
        <v>0</v>
      </c>
      <c r="CV121" s="2">
        <f t="shared" si="106"/>
        <v>0</v>
      </c>
      <c r="CW121" s="2">
        <f t="shared" si="106"/>
        <v>0</v>
      </c>
      <c r="CX121" s="2">
        <f t="shared" si="106"/>
        <v>0</v>
      </c>
      <c r="CY121" s="2">
        <f t="shared" si="106"/>
        <v>0</v>
      </c>
      <c r="CZ121" s="2">
        <f t="shared" si="106"/>
        <v>0</v>
      </c>
      <c r="DA121" s="2">
        <f t="shared" si="106"/>
        <v>0</v>
      </c>
      <c r="DB121" s="2">
        <f t="shared" si="106"/>
        <v>0</v>
      </c>
      <c r="DC121" s="2">
        <f t="shared" si="106"/>
        <v>0</v>
      </c>
      <c r="DD121" s="2">
        <f t="shared" si="106"/>
        <v>0</v>
      </c>
      <c r="DE121" s="2">
        <f t="shared" si="106"/>
        <v>0</v>
      </c>
      <c r="DF121" s="2">
        <f t="shared" si="106"/>
        <v>0</v>
      </c>
      <c r="DG121" s="3">
        <f t="shared" ref="DG121:EL121" si="107">DG130</f>
        <v>0</v>
      </c>
      <c r="DH121" s="3">
        <f t="shared" si="107"/>
        <v>0</v>
      </c>
      <c r="DI121" s="3">
        <f t="shared" si="107"/>
        <v>0</v>
      </c>
      <c r="DJ121" s="3">
        <f t="shared" si="107"/>
        <v>0</v>
      </c>
      <c r="DK121" s="3">
        <f t="shared" si="107"/>
        <v>0</v>
      </c>
      <c r="DL121" s="3">
        <f t="shared" si="107"/>
        <v>0</v>
      </c>
      <c r="DM121" s="3">
        <f t="shared" si="107"/>
        <v>0</v>
      </c>
      <c r="DN121" s="3">
        <f t="shared" si="107"/>
        <v>0</v>
      </c>
      <c r="DO121" s="3">
        <f t="shared" si="107"/>
        <v>0</v>
      </c>
      <c r="DP121" s="3">
        <f t="shared" si="107"/>
        <v>0</v>
      </c>
      <c r="DQ121" s="3">
        <f t="shared" si="107"/>
        <v>0</v>
      </c>
      <c r="DR121" s="3">
        <f t="shared" si="107"/>
        <v>0</v>
      </c>
      <c r="DS121" s="3">
        <f t="shared" si="107"/>
        <v>0</v>
      </c>
      <c r="DT121" s="3">
        <f t="shared" si="107"/>
        <v>0</v>
      </c>
      <c r="DU121" s="3">
        <f t="shared" si="107"/>
        <v>0</v>
      </c>
      <c r="DV121" s="3">
        <f t="shared" si="107"/>
        <v>0</v>
      </c>
      <c r="DW121" s="3">
        <f t="shared" si="107"/>
        <v>0</v>
      </c>
      <c r="DX121" s="3">
        <f t="shared" si="107"/>
        <v>0</v>
      </c>
      <c r="DY121" s="3">
        <f t="shared" si="107"/>
        <v>0</v>
      </c>
      <c r="DZ121" s="3">
        <f t="shared" si="107"/>
        <v>0</v>
      </c>
      <c r="EA121" s="3">
        <f t="shared" si="107"/>
        <v>0</v>
      </c>
      <c r="EB121" s="3">
        <f t="shared" si="107"/>
        <v>0</v>
      </c>
      <c r="EC121" s="3">
        <f t="shared" si="107"/>
        <v>0</v>
      </c>
      <c r="ED121" s="3">
        <f t="shared" si="107"/>
        <v>0</v>
      </c>
      <c r="EE121" s="3">
        <f t="shared" si="107"/>
        <v>0</v>
      </c>
      <c r="EF121" s="3">
        <f t="shared" si="107"/>
        <v>0</v>
      </c>
      <c r="EG121" s="3">
        <f t="shared" si="107"/>
        <v>0</v>
      </c>
      <c r="EH121" s="3">
        <f t="shared" si="107"/>
        <v>0</v>
      </c>
      <c r="EI121" s="3">
        <f t="shared" si="107"/>
        <v>0</v>
      </c>
      <c r="EJ121" s="3">
        <f t="shared" si="107"/>
        <v>0</v>
      </c>
      <c r="EK121" s="3">
        <f t="shared" si="107"/>
        <v>0</v>
      </c>
      <c r="EL121" s="3">
        <f t="shared" si="107"/>
        <v>0</v>
      </c>
      <c r="EM121" s="3">
        <f t="shared" ref="EM121:FR121" si="108">EM130</f>
        <v>0</v>
      </c>
      <c r="EN121" s="3">
        <f t="shared" si="108"/>
        <v>0</v>
      </c>
      <c r="EO121" s="3">
        <f t="shared" si="108"/>
        <v>0</v>
      </c>
      <c r="EP121" s="3">
        <f t="shared" si="108"/>
        <v>0</v>
      </c>
      <c r="EQ121" s="3">
        <f t="shared" si="108"/>
        <v>0</v>
      </c>
      <c r="ER121" s="3">
        <f t="shared" si="108"/>
        <v>0</v>
      </c>
      <c r="ES121" s="3">
        <f t="shared" si="108"/>
        <v>0</v>
      </c>
      <c r="ET121" s="3">
        <f t="shared" si="108"/>
        <v>0</v>
      </c>
      <c r="EU121" s="3">
        <f t="shared" si="108"/>
        <v>0</v>
      </c>
      <c r="EV121" s="3">
        <f t="shared" si="108"/>
        <v>0</v>
      </c>
      <c r="EW121" s="3">
        <f t="shared" si="108"/>
        <v>0</v>
      </c>
      <c r="EX121" s="3">
        <f t="shared" si="108"/>
        <v>0</v>
      </c>
      <c r="EY121" s="3">
        <f t="shared" si="108"/>
        <v>0</v>
      </c>
      <c r="EZ121" s="3">
        <f t="shared" si="108"/>
        <v>0</v>
      </c>
      <c r="FA121" s="3">
        <f t="shared" si="108"/>
        <v>0</v>
      </c>
      <c r="FB121" s="3">
        <f t="shared" si="108"/>
        <v>0</v>
      </c>
      <c r="FC121" s="3">
        <f t="shared" si="108"/>
        <v>0</v>
      </c>
      <c r="FD121" s="3">
        <f t="shared" si="108"/>
        <v>0</v>
      </c>
      <c r="FE121" s="3">
        <f t="shared" si="108"/>
        <v>0</v>
      </c>
      <c r="FF121" s="3">
        <f t="shared" si="108"/>
        <v>0</v>
      </c>
      <c r="FG121" s="3">
        <f t="shared" si="108"/>
        <v>0</v>
      </c>
      <c r="FH121" s="3">
        <f t="shared" si="108"/>
        <v>0</v>
      </c>
      <c r="FI121" s="3">
        <f t="shared" si="108"/>
        <v>0</v>
      </c>
      <c r="FJ121" s="3">
        <f t="shared" si="108"/>
        <v>0</v>
      </c>
      <c r="FK121" s="3">
        <f t="shared" si="108"/>
        <v>0</v>
      </c>
      <c r="FL121" s="3">
        <f t="shared" si="108"/>
        <v>0</v>
      </c>
      <c r="FM121" s="3">
        <f t="shared" si="108"/>
        <v>0</v>
      </c>
      <c r="FN121" s="3">
        <f t="shared" si="108"/>
        <v>0</v>
      </c>
      <c r="FO121" s="3">
        <f t="shared" si="108"/>
        <v>0</v>
      </c>
      <c r="FP121" s="3">
        <f t="shared" si="108"/>
        <v>0</v>
      </c>
      <c r="FQ121" s="3">
        <f t="shared" si="108"/>
        <v>0</v>
      </c>
      <c r="FR121" s="3">
        <f t="shared" si="108"/>
        <v>0</v>
      </c>
      <c r="FS121" s="3">
        <f t="shared" ref="FS121:GX121" si="109">FS130</f>
        <v>0</v>
      </c>
      <c r="FT121" s="3">
        <f t="shared" si="109"/>
        <v>0</v>
      </c>
      <c r="FU121" s="3">
        <f t="shared" si="109"/>
        <v>0</v>
      </c>
      <c r="FV121" s="3">
        <f t="shared" si="109"/>
        <v>0</v>
      </c>
      <c r="FW121" s="3">
        <f t="shared" si="109"/>
        <v>0</v>
      </c>
      <c r="FX121" s="3">
        <f t="shared" si="109"/>
        <v>0</v>
      </c>
      <c r="FY121" s="3">
        <f t="shared" si="109"/>
        <v>0</v>
      </c>
      <c r="FZ121" s="3">
        <f t="shared" si="109"/>
        <v>0</v>
      </c>
      <c r="GA121" s="3">
        <f t="shared" si="109"/>
        <v>0</v>
      </c>
      <c r="GB121" s="3">
        <f t="shared" si="109"/>
        <v>0</v>
      </c>
      <c r="GC121" s="3">
        <f t="shared" si="109"/>
        <v>0</v>
      </c>
      <c r="GD121" s="3">
        <f t="shared" si="109"/>
        <v>0</v>
      </c>
      <c r="GE121" s="3">
        <f t="shared" si="109"/>
        <v>0</v>
      </c>
      <c r="GF121" s="3">
        <f t="shared" si="109"/>
        <v>0</v>
      </c>
      <c r="GG121" s="3">
        <f t="shared" si="109"/>
        <v>0</v>
      </c>
      <c r="GH121" s="3">
        <f t="shared" si="109"/>
        <v>0</v>
      </c>
      <c r="GI121" s="3">
        <f t="shared" si="109"/>
        <v>0</v>
      </c>
      <c r="GJ121" s="3">
        <f t="shared" si="109"/>
        <v>0</v>
      </c>
      <c r="GK121" s="3">
        <f t="shared" si="109"/>
        <v>0</v>
      </c>
      <c r="GL121" s="3">
        <f t="shared" si="109"/>
        <v>0</v>
      </c>
      <c r="GM121" s="3">
        <f t="shared" si="109"/>
        <v>0</v>
      </c>
      <c r="GN121" s="3">
        <f t="shared" si="109"/>
        <v>0</v>
      </c>
      <c r="GO121" s="3">
        <f t="shared" si="109"/>
        <v>0</v>
      </c>
      <c r="GP121" s="3">
        <f t="shared" si="109"/>
        <v>0</v>
      </c>
      <c r="GQ121" s="3">
        <f t="shared" si="109"/>
        <v>0</v>
      </c>
      <c r="GR121" s="3">
        <f t="shared" si="109"/>
        <v>0</v>
      </c>
      <c r="GS121" s="3">
        <f t="shared" si="109"/>
        <v>0</v>
      </c>
      <c r="GT121" s="3">
        <f t="shared" si="109"/>
        <v>0</v>
      </c>
      <c r="GU121" s="3">
        <f t="shared" si="109"/>
        <v>0</v>
      </c>
      <c r="GV121" s="3">
        <f t="shared" si="109"/>
        <v>0</v>
      </c>
      <c r="GW121" s="3">
        <f t="shared" si="109"/>
        <v>0</v>
      </c>
      <c r="GX121" s="3">
        <f t="shared" si="109"/>
        <v>0</v>
      </c>
    </row>
    <row r="123" spans="1:245" x14ac:dyDescent="0.2">
      <c r="A123">
        <v>17</v>
      </c>
      <c r="B123">
        <v>1</v>
      </c>
      <c r="C123">
        <f>ROW(SmtRes!A96)</f>
        <v>96</v>
      </c>
      <c r="D123">
        <f>ROW(EtalonRes!A116)</f>
        <v>116</v>
      </c>
      <c r="E123" t="s">
        <v>212</v>
      </c>
      <c r="F123" t="s">
        <v>213</v>
      </c>
      <c r="G123" t="s">
        <v>214</v>
      </c>
      <c r="H123" t="s">
        <v>215</v>
      </c>
      <c r="I123">
        <v>2.4</v>
      </c>
      <c r="J123">
        <v>0</v>
      </c>
      <c r="O123">
        <f t="shared" ref="O123:O128" si="110">ROUND(CP123,0)</f>
        <v>316</v>
      </c>
      <c r="P123">
        <f t="shared" ref="P123:P128" si="111">ROUND(CQ123*I123,0)</f>
        <v>0</v>
      </c>
      <c r="Q123">
        <f t="shared" ref="Q123:Q128" si="112">ROUND(CR123*I123,0)</f>
        <v>209</v>
      </c>
      <c r="R123">
        <f t="shared" ref="R123:R128" si="113">ROUND(CS123*I123,0)</f>
        <v>0</v>
      </c>
      <c r="S123">
        <f t="shared" ref="S123:S128" si="114">ROUND(CT123*I123,0)</f>
        <v>107</v>
      </c>
      <c r="T123">
        <f t="shared" ref="T123:T128" si="115">ROUND(CU123*I123,0)</f>
        <v>0</v>
      </c>
      <c r="U123">
        <f t="shared" ref="U123:U128" si="116">CV123*I123</f>
        <v>12.592799999999997</v>
      </c>
      <c r="V123">
        <f t="shared" ref="V123:V128" si="117">CW123*I123</f>
        <v>0</v>
      </c>
      <c r="W123">
        <f t="shared" ref="W123:W128" si="118">ROUND(CX123*I123,0)</f>
        <v>0</v>
      </c>
      <c r="X123">
        <f t="shared" ref="X123:Y128" si="119">ROUND(CY123,0)</f>
        <v>100</v>
      </c>
      <c r="Y123">
        <f t="shared" si="119"/>
        <v>47</v>
      </c>
      <c r="AA123">
        <v>224527337</v>
      </c>
      <c r="AB123">
        <f t="shared" ref="AB123:AB128" si="120">ROUND((AC123+AD123+AF123),2)</f>
        <v>131.71</v>
      </c>
      <c r="AC123">
        <f>ROUND(((ES123*0.3)),2)</f>
        <v>0</v>
      </c>
      <c r="AD123">
        <f>ROUND(((((ET123*0.3))-((EU123*0.3)))+AE123),2)</f>
        <v>86.95</v>
      </c>
      <c r="AE123">
        <f>ROUND(((EU123*0.3)),2)</f>
        <v>0</v>
      </c>
      <c r="AF123">
        <f>ROUND(((EV123*0.3)),2)</f>
        <v>44.76</v>
      </c>
      <c r="AG123">
        <f t="shared" ref="AG123:AG128" si="121">ROUND((AP123),2)</f>
        <v>0</v>
      </c>
      <c r="AH123">
        <f>((EW123*0.3))</f>
        <v>5.246999999999999</v>
      </c>
      <c r="AI123">
        <f>((EX123*0.3))</f>
        <v>0</v>
      </c>
      <c r="AJ123">
        <f t="shared" ref="AJ123:AJ128" si="122">(AS123)</f>
        <v>0</v>
      </c>
      <c r="AK123">
        <v>439.01</v>
      </c>
      <c r="AL123">
        <v>0</v>
      </c>
      <c r="AM123">
        <v>289.82</v>
      </c>
      <c r="AN123">
        <v>0</v>
      </c>
      <c r="AO123">
        <v>149.19</v>
      </c>
      <c r="AP123">
        <v>0</v>
      </c>
      <c r="AQ123">
        <v>17.489999999999998</v>
      </c>
      <c r="AR123">
        <v>0</v>
      </c>
      <c r="AS123">
        <v>0</v>
      </c>
      <c r="AT123">
        <v>93</v>
      </c>
      <c r="AU123">
        <v>44</v>
      </c>
      <c r="AV123">
        <v>1</v>
      </c>
      <c r="AW123">
        <v>1</v>
      </c>
      <c r="AZ123">
        <v>1</v>
      </c>
      <c r="BA123">
        <v>1</v>
      </c>
      <c r="BB123">
        <v>1</v>
      </c>
      <c r="BC123">
        <v>1</v>
      </c>
      <c r="BD123" t="s">
        <v>2</v>
      </c>
      <c r="BE123" t="s">
        <v>2</v>
      </c>
      <c r="BF123" t="s">
        <v>2</v>
      </c>
      <c r="BG123" t="s">
        <v>2</v>
      </c>
      <c r="BH123">
        <v>0</v>
      </c>
      <c r="BI123">
        <v>1</v>
      </c>
      <c r="BJ123" t="s">
        <v>216</v>
      </c>
      <c r="BM123">
        <v>69001</v>
      </c>
      <c r="BN123">
        <v>0</v>
      </c>
      <c r="BO123" t="s">
        <v>2</v>
      </c>
      <c r="BP123">
        <v>0</v>
      </c>
      <c r="BQ123">
        <v>6</v>
      </c>
      <c r="BR123">
        <v>0</v>
      </c>
      <c r="BS123">
        <v>1</v>
      </c>
      <c r="BT123">
        <v>1</v>
      </c>
      <c r="BU123">
        <v>1</v>
      </c>
      <c r="BV123">
        <v>1</v>
      </c>
      <c r="BW123">
        <v>1</v>
      </c>
      <c r="BX123">
        <v>1</v>
      </c>
      <c r="BY123" t="s">
        <v>2</v>
      </c>
      <c r="BZ123">
        <v>93</v>
      </c>
      <c r="CA123">
        <v>44</v>
      </c>
      <c r="CE123">
        <v>0</v>
      </c>
      <c r="CF123">
        <v>0</v>
      </c>
      <c r="CG123">
        <v>0</v>
      </c>
      <c r="CM123">
        <v>0</v>
      </c>
      <c r="CN123" t="s">
        <v>217</v>
      </c>
      <c r="CO123">
        <v>0</v>
      </c>
      <c r="CP123">
        <f t="shared" ref="CP123:CP128" si="123">(P123+Q123+S123)</f>
        <v>316</v>
      </c>
      <c r="CQ123">
        <f t="shared" ref="CQ123:CQ128" si="124">AC123*BC123</f>
        <v>0</v>
      </c>
      <c r="CR123">
        <f t="shared" ref="CR123:CR128" si="125">AD123*BB123</f>
        <v>86.95</v>
      </c>
      <c r="CS123">
        <f t="shared" ref="CS123:CS128" si="126">AE123*BS123</f>
        <v>0</v>
      </c>
      <c r="CT123">
        <f t="shared" ref="CT123:CT128" si="127">AF123*BA123</f>
        <v>44.76</v>
      </c>
      <c r="CU123">
        <f t="shared" ref="CU123:CX128" si="128">AG123</f>
        <v>0</v>
      </c>
      <c r="CV123">
        <f t="shared" si="128"/>
        <v>5.246999999999999</v>
      </c>
      <c r="CW123">
        <f t="shared" si="128"/>
        <v>0</v>
      </c>
      <c r="CX123">
        <f t="shared" si="128"/>
        <v>0</v>
      </c>
      <c r="CY123">
        <f t="shared" ref="CY123:CY128" si="129">(((S123+R123)*AT123)/100)</f>
        <v>99.51</v>
      </c>
      <c r="CZ123">
        <f t="shared" ref="CZ123:CZ128" si="130">(((S123+R123)*AU123)/100)</f>
        <v>47.08</v>
      </c>
      <c r="DC123" t="s">
        <v>2</v>
      </c>
      <c r="DD123" t="s">
        <v>218</v>
      </c>
      <c r="DE123" t="s">
        <v>218</v>
      </c>
      <c r="DF123" t="s">
        <v>218</v>
      </c>
      <c r="DG123" t="s">
        <v>218</v>
      </c>
      <c r="DH123" t="s">
        <v>2</v>
      </c>
      <c r="DI123" t="s">
        <v>218</v>
      </c>
      <c r="DJ123" t="s">
        <v>218</v>
      </c>
      <c r="DK123" t="s">
        <v>2</v>
      </c>
      <c r="DL123" t="s">
        <v>2</v>
      </c>
      <c r="DM123" t="s">
        <v>2</v>
      </c>
      <c r="DN123">
        <v>0</v>
      </c>
      <c r="DO123">
        <v>0</v>
      </c>
      <c r="DP123">
        <v>1</v>
      </c>
      <c r="DQ123">
        <v>1</v>
      </c>
      <c r="DU123">
        <v>1007</v>
      </c>
      <c r="DV123" t="s">
        <v>215</v>
      </c>
      <c r="DW123" t="s">
        <v>215</v>
      </c>
      <c r="DX123">
        <v>1</v>
      </c>
      <c r="DZ123" t="s">
        <v>2</v>
      </c>
      <c r="EA123" t="s">
        <v>2</v>
      </c>
      <c r="EB123" t="s">
        <v>2</v>
      </c>
      <c r="EC123" t="s">
        <v>2</v>
      </c>
      <c r="EE123">
        <v>222773692</v>
      </c>
      <c r="EF123">
        <v>6</v>
      </c>
      <c r="EG123" t="s">
        <v>20</v>
      </c>
      <c r="EH123">
        <v>103</v>
      </c>
      <c r="EI123" t="s">
        <v>21</v>
      </c>
      <c r="EJ123">
        <v>1</v>
      </c>
      <c r="EK123">
        <v>69001</v>
      </c>
      <c r="EL123" t="s">
        <v>21</v>
      </c>
      <c r="EM123" t="s">
        <v>22</v>
      </c>
      <c r="EN123" t="s">
        <v>2</v>
      </c>
      <c r="EO123" t="s">
        <v>219</v>
      </c>
      <c r="EQ123">
        <v>768</v>
      </c>
      <c r="ER123">
        <v>439.01</v>
      </c>
      <c r="ES123">
        <v>0</v>
      </c>
      <c r="ET123">
        <v>289.82</v>
      </c>
      <c r="EU123">
        <v>0</v>
      </c>
      <c r="EV123">
        <v>149.19</v>
      </c>
      <c r="EW123">
        <v>17.489999999999998</v>
      </c>
      <c r="EX123">
        <v>0</v>
      </c>
      <c r="EY123">
        <v>0</v>
      </c>
      <c r="FQ123">
        <v>0</v>
      </c>
      <c r="FR123">
        <f t="shared" ref="FR123:FR128" si="131">ROUND(IF(AND(BH123=3,BI123=3),P123,0),0)</f>
        <v>0</v>
      </c>
      <c r="FS123">
        <v>0</v>
      </c>
      <c r="FX123">
        <v>93</v>
      </c>
      <c r="FY123">
        <v>44</v>
      </c>
      <c r="GA123" t="s">
        <v>2</v>
      </c>
      <c r="GD123">
        <v>1</v>
      </c>
      <c r="GF123">
        <v>532704664</v>
      </c>
      <c r="GG123">
        <v>2</v>
      </c>
      <c r="GH123">
        <v>1</v>
      </c>
      <c r="GI123">
        <v>-2</v>
      </c>
      <c r="GJ123">
        <v>0</v>
      </c>
      <c r="GK123">
        <v>0</v>
      </c>
      <c r="GL123">
        <f t="shared" ref="GL123:GL128" si="132">ROUND(IF(AND(BH123=3,BI123=3,FS123&lt;&gt;0),P123,0),0)</f>
        <v>0</v>
      </c>
      <c r="GM123">
        <f t="shared" ref="GM123:GM128" si="133">ROUND(O123+X123+Y123,0)+GX123</f>
        <v>463</v>
      </c>
      <c r="GN123">
        <f t="shared" ref="GN123:GN128" si="134">IF(OR(BI123=0,BI123=1),ROUND(O123+X123+Y123,0),0)</f>
        <v>463</v>
      </c>
      <c r="GO123">
        <f t="shared" ref="GO123:GO128" si="135">IF(BI123=2,ROUND(O123+X123+Y123,0),0)</f>
        <v>0</v>
      </c>
      <c r="GP123">
        <f t="shared" ref="GP123:GP128" si="136">IF(BI123=4,ROUND(O123+X123+Y123,0)+GX123,0)</f>
        <v>0</v>
      </c>
      <c r="GR123">
        <v>0</v>
      </c>
      <c r="GS123">
        <v>3</v>
      </c>
      <c r="GT123">
        <v>0</v>
      </c>
      <c r="GU123" t="s">
        <v>2</v>
      </c>
      <c r="GV123">
        <f t="shared" ref="GV123:GV128" si="137">ROUND((GT123),2)</f>
        <v>0</v>
      </c>
      <c r="GW123">
        <v>1</v>
      </c>
      <c r="GX123">
        <f t="shared" ref="GX123:GX128" si="138">ROUND(HC123*I123,0)</f>
        <v>0</v>
      </c>
      <c r="HA123">
        <v>0</v>
      </c>
      <c r="HB123">
        <v>0</v>
      </c>
      <c r="HC123">
        <f t="shared" ref="HC123:HC128" si="139">GV123*GW123</f>
        <v>0</v>
      </c>
      <c r="HE123" t="s">
        <v>2</v>
      </c>
      <c r="HF123" t="s">
        <v>2</v>
      </c>
      <c r="IK123">
        <v>0</v>
      </c>
    </row>
    <row r="124" spans="1:245" x14ac:dyDescent="0.2">
      <c r="A124">
        <v>17</v>
      </c>
      <c r="B124">
        <v>1</v>
      </c>
      <c r="C124">
        <f>ROW(SmtRes!A99)</f>
        <v>99</v>
      </c>
      <c r="D124">
        <f>ROW(EtalonRes!A119)</f>
        <v>119</v>
      </c>
      <c r="E124" t="s">
        <v>220</v>
      </c>
      <c r="F124" t="s">
        <v>221</v>
      </c>
      <c r="G124" t="s">
        <v>222</v>
      </c>
      <c r="H124" t="s">
        <v>78</v>
      </c>
      <c r="I124">
        <f>ROUND(2.5/100,9)</f>
        <v>2.5000000000000001E-2</v>
      </c>
      <c r="J124">
        <v>0</v>
      </c>
      <c r="O124">
        <f t="shared" si="110"/>
        <v>61</v>
      </c>
      <c r="P124">
        <f t="shared" si="111"/>
        <v>0</v>
      </c>
      <c r="Q124">
        <f t="shared" si="112"/>
        <v>39</v>
      </c>
      <c r="R124">
        <f t="shared" si="113"/>
        <v>0</v>
      </c>
      <c r="S124">
        <f t="shared" si="114"/>
        <v>22</v>
      </c>
      <c r="T124">
        <f t="shared" si="115"/>
        <v>0</v>
      </c>
      <c r="U124">
        <f t="shared" si="116"/>
        <v>2.3193774999999999</v>
      </c>
      <c r="V124">
        <f t="shared" si="117"/>
        <v>0</v>
      </c>
      <c r="W124">
        <f t="shared" si="118"/>
        <v>0</v>
      </c>
      <c r="X124">
        <f t="shared" si="119"/>
        <v>23</v>
      </c>
      <c r="Y124">
        <f t="shared" si="119"/>
        <v>11</v>
      </c>
      <c r="AA124">
        <v>224527337</v>
      </c>
      <c r="AB124">
        <f t="shared" si="120"/>
        <v>2414.77</v>
      </c>
      <c r="AC124">
        <f>ROUND((ES124),2)</f>
        <v>0</v>
      </c>
      <c r="AD124">
        <f>ROUND((((((ET124*1.25)*1.1))-(((EU124*1.25)*1.1)))+AE124),2)</f>
        <v>1542.68</v>
      </c>
      <c r="AE124">
        <f>ROUND((((EU124*1.25)*1.1)),2)</f>
        <v>0</v>
      </c>
      <c r="AF124">
        <f>ROUND((((EV124*1.15)*1.1)),2)</f>
        <v>872.09</v>
      </c>
      <c r="AG124">
        <f t="shared" si="121"/>
        <v>0</v>
      </c>
      <c r="AH124">
        <f>(((EW124*1.15)*1.1))</f>
        <v>92.775099999999995</v>
      </c>
      <c r="AI124">
        <f>(((EX124*1.25)*1.1))</f>
        <v>0</v>
      </c>
      <c r="AJ124">
        <f t="shared" si="122"/>
        <v>0</v>
      </c>
      <c r="AK124">
        <v>1811.35</v>
      </c>
      <c r="AL124">
        <v>0</v>
      </c>
      <c r="AM124">
        <v>1121.95</v>
      </c>
      <c r="AN124">
        <v>0</v>
      </c>
      <c r="AO124">
        <v>689.4</v>
      </c>
      <c r="AP124">
        <v>0</v>
      </c>
      <c r="AQ124">
        <v>73.34</v>
      </c>
      <c r="AR124">
        <v>0</v>
      </c>
      <c r="AS124">
        <v>0</v>
      </c>
      <c r="AT124">
        <v>104</v>
      </c>
      <c r="AU124">
        <v>50.15</v>
      </c>
      <c r="AV124">
        <v>1</v>
      </c>
      <c r="AW124">
        <v>1</v>
      </c>
      <c r="AZ124">
        <v>1</v>
      </c>
      <c r="BA124">
        <v>1</v>
      </c>
      <c r="BB124">
        <v>1</v>
      </c>
      <c r="BC124">
        <v>1</v>
      </c>
      <c r="BD124" t="s">
        <v>2</v>
      </c>
      <c r="BE124" t="s">
        <v>2</v>
      </c>
      <c r="BF124" t="s">
        <v>2</v>
      </c>
      <c r="BG124" t="s">
        <v>2</v>
      </c>
      <c r="BH124">
        <v>0</v>
      </c>
      <c r="BI124">
        <v>1</v>
      </c>
      <c r="BJ124" t="s">
        <v>223</v>
      </c>
      <c r="BM124">
        <v>46001</v>
      </c>
      <c r="BN124">
        <v>0</v>
      </c>
      <c r="BO124" t="s">
        <v>2</v>
      </c>
      <c r="BP124">
        <v>0</v>
      </c>
      <c r="BQ124">
        <v>2</v>
      </c>
      <c r="BR124">
        <v>0</v>
      </c>
      <c r="BS124">
        <v>1</v>
      </c>
      <c r="BT124">
        <v>1</v>
      </c>
      <c r="BU124">
        <v>1</v>
      </c>
      <c r="BV124">
        <v>1</v>
      </c>
      <c r="BW124">
        <v>1</v>
      </c>
      <c r="BX124">
        <v>1</v>
      </c>
      <c r="BY124" t="s">
        <v>2</v>
      </c>
      <c r="BZ124">
        <v>104</v>
      </c>
      <c r="CA124">
        <v>59</v>
      </c>
      <c r="CE124">
        <v>0</v>
      </c>
      <c r="CF124">
        <v>0</v>
      </c>
      <c r="CG124">
        <v>0</v>
      </c>
      <c r="CM124">
        <v>0</v>
      </c>
      <c r="CN124" t="s">
        <v>803</v>
      </c>
      <c r="CO124">
        <v>0</v>
      </c>
      <c r="CP124">
        <f t="shared" si="123"/>
        <v>61</v>
      </c>
      <c r="CQ124">
        <f t="shared" si="124"/>
        <v>0</v>
      </c>
      <c r="CR124">
        <f t="shared" si="125"/>
        <v>1542.68</v>
      </c>
      <c r="CS124">
        <f t="shared" si="126"/>
        <v>0</v>
      </c>
      <c r="CT124">
        <f t="shared" si="127"/>
        <v>872.09</v>
      </c>
      <c r="CU124">
        <f t="shared" si="128"/>
        <v>0</v>
      </c>
      <c r="CV124">
        <f t="shared" si="128"/>
        <v>92.775099999999995</v>
      </c>
      <c r="CW124">
        <f t="shared" si="128"/>
        <v>0</v>
      </c>
      <c r="CX124">
        <f t="shared" si="128"/>
        <v>0</v>
      </c>
      <c r="CY124">
        <f t="shared" si="129"/>
        <v>22.88</v>
      </c>
      <c r="CZ124">
        <f t="shared" si="130"/>
        <v>11.032999999999999</v>
      </c>
      <c r="DC124" t="s">
        <v>2</v>
      </c>
      <c r="DD124" t="s">
        <v>2</v>
      </c>
      <c r="DE124" t="s">
        <v>224</v>
      </c>
      <c r="DF124" t="s">
        <v>224</v>
      </c>
      <c r="DG124" t="s">
        <v>225</v>
      </c>
      <c r="DH124" t="s">
        <v>2</v>
      </c>
      <c r="DI124" t="s">
        <v>225</v>
      </c>
      <c r="DJ124" t="s">
        <v>224</v>
      </c>
      <c r="DK124" t="s">
        <v>2</v>
      </c>
      <c r="DL124" t="s">
        <v>2</v>
      </c>
      <c r="DM124" t="s">
        <v>67</v>
      </c>
      <c r="DN124">
        <v>0</v>
      </c>
      <c r="DO124">
        <v>0</v>
      </c>
      <c r="DP124">
        <v>1</v>
      </c>
      <c r="DQ124">
        <v>1</v>
      </c>
      <c r="DU124">
        <v>1003</v>
      </c>
      <c r="DV124" t="s">
        <v>78</v>
      </c>
      <c r="DW124" t="s">
        <v>78</v>
      </c>
      <c r="DX124">
        <v>100</v>
      </c>
      <c r="DZ124" t="s">
        <v>2</v>
      </c>
      <c r="EA124" t="s">
        <v>2</v>
      </c>
      <c r="EB124" t="s">
        <v>2</v>
      </c>
      <c r="EC124" t="s">
        <v>2</v>
      </c>
      <c r="EE124">
        <v>222773633</v>
      </c>
      <c r="EF124">
        <v>2</v>
      </c>
      <c r="EG124" t="s">
        <v>47</v>
      </c>
      <c r="EH124">
        <v>40</v>
      </c>
      <c r="EI124" t="s">
        <v>226</v>
      </c>
      <c r="EJ124">
        <v>1</v>
      </c>
      <c r="EK124">
        <v>46001</v>
      </c>
      <c r="EL124" t="s">
        <v>227</v>
      </c>
      <c r="EM124" t="s">
        <v>228</v>
      </c>
      <c r="EN124" t="s">
        <v>2</v>
      </c>
      <c r="EO124" t="s">
        <v>229</v>
      </c>
      <c r="EQ124">
        <v>768</v>
      </c>
      <c r="ER124">
        <v>1811.35</v>
      </c>
      <c r="ES124">
        <v>0</v>
      </c>
      <c r="ET124">
        <v>1121.95</v>
      </c>
      <c r="EU124">
        <v>0</v>
      </c>
      <c r="EV124">
        <v>689.4</v>
      </c>
      <c r="EW124">
        <v>73.34</v>
      </c>
      <c r="EX124">
        <v>0</v>
      </c>
      <c r="EY124">
        <v>0</v>
      </c>
      <c r="FQ124">
        <v>0</v>
      </c>
      <c r="FR124">
        <f t="shared" si="131"/>
        <v>0</v>
      </c>
      <c r="FS124">
        <v>0</v>
      </c>
      <c r="FX124">
        <v>104</v>
      </c>
      <c r="FY124">
        <v>50.15</v>
      </c>
      <c r="GA124" t="s">
        <v>2</v>
      </c>
      <c r="GD124">
        <v>1</v>
      </c>
      <c r="GF124">
        <v>1977102009</v>
      </c>
      <c r="GG124">
        <v>2</v>
      </c>
      <c r="GH124">
        <v>1</v>
      </c>
      <c r="GI124">
        <v>-2</v>
      </c>
      <c r="GJ124">
        <v>0</v>
      </c>
      <c r="GK124">
        <v>0</v>
      </c>
      <c r="GL124">
        <f t="shared" si="132"/>
        <v>0</v>
      </c>
      <c r="GM124">
        <f t="shared" si="133"/>
        <v>95</v>
      </c>
      <c r="GN124">
        <f t="shared" si="134"/>
        <v>95</v>
      </c>
      <c r="GO124">
        <f t="shared" si="135"/>
        <v>0</v>
      </c>
      <c r="GP124">
        <f t="shared" si="136"/>
        <v>0</v>
      </c>
      <c r="GR124">
        <v>0</v>
      </c>
      <c r="GS124">
        <v>3</v>
      </c>
      <c r="GT124">
        <v>0</v>
      </c>
      <c r="GU124" t="s">
        <v>2</v>
      </c>
      <c r="GV124">
        <f t="shared" si="137"/>
        <v>0</v>
      </c>
      <c r="GW124">
        <v>1</v>
      </c>
      <c r="GX124">
        <f t="shared" si="138"/>
        <v>0</v>
      </c>
      <c r="HA124">
        <v>0</v>
      </c>
      <c r="HB124">
        <v>0</v>
      </c>
      <c r="HC124">
        <f t="shared" si="139"/>
        <v>0</v>
      </c>
      <c r="HE124" t="s">
        <v>2</v>
      </c>
      <c r="HF124" t="s">
        <v>2</v>
      </c>
      <c r="IK124">
        <v>0</v>
      </c>
    </row>
    <row r="125" spans="1:245" x14ac:dyDescent="0.2">
      <c r="A125">
        <v>17</v>
      </c>
      <c r="B125">
        <v>1</v>
      </c>
      <c r="C125">
        <f>ROW(SmtRes!A105)</f>
        <v>105</v>
      </c>
      <c r="D125">
        <f>ROW(EtalonRes!A125)</f>
        <v>125</v>
      </c>
      <c r="E125" t="s">
        <v>230</v>
      </c>
      <c r="F125" t="s">
        <v>231</v>
      </c>
      <c r="G125" t="s">
        <v>232</v>
      </c>
      <c r="H125" t="s">
        <v>78</v>
      </c>
      <c r="I125">
        <f>ROUND(23/100,9)</f>
        <v>0.23</v>
      </c>
      <c r="J125">
        <v>0</v>
      </c>
      <c r="O125">
        <f t="shared" si="110"/>
        <v>58</v>
      </c>
      <c r="P125">
        <f t="shared" si="111"/>
        <v>12</v>
      </c>
      <c r="Q125">
        <f t="shared" si="112"/>
        <v>0</v>
      </c>
      <c r="R125">
        <f t="shared" si="113"/>
        <v>0</v>
      </c>
      <c r="S125">
        <f t="shared" si="114"/>
        <v>46</v>
      </c>
      <c r="T125">
        <f t="shared" si="115"/>
        <v>0</v>
      </c>
      <c r="U125">
        <f t="shared" si="116"/>
        <v>4.8707099999999999</v>
      </c>
      <c r="V125">
        <f t="shared" si="117"/>
        <v>2.9900000000000005E-3</v>
      </c>
      <c r="W125">
        <f t="shared" si="118"/>
        <v>0</v>
      </c>
      <c r="X125">
        <f t="shared" si="119"/>
        <v>45</v>
      </c>
      <c r="Y125">
        <f t="shared" si="119"/>
        <v>23</v>
      </c>
      <c r="AA125">
        <v>224527337</v>
      </c>
      <c r="AB125">
        <f t="shared" si="120"/>
        <v>253.33</v>
      </c>
      <c r="AC125">
        <f>ROUND((ES125),2)</f>
        <v>51.53</v>
      </c>
      <c r="AD125">
        <f>ROUND(((((ET125*1.3))-((EU125*1.3)))+AE125),2)</f>
        <v>0.4</v>
      </c>
      <c r="AE125">
        <f>ROUND(((EU125*1.3)),2)</f>
        <v>0.18</v>
      </c>
      <c r="AF125">
        <f>ROUND(((EV125*1.3)),2)</f>
        <v>201.4</v>
      </c>
      <c r="AG125">
        <f t="shared" si="121"/>
        <v>0</v>
      </c>
      <c r="AH125">
        <f>((EW125*1.3))</f>
        <v>21.177</v>
      </c>
      <c r="AI125">
        <f>((EX125*1.3))</f>
        <v>1.3000000000000001E-2</v>
      </c>
      <c r="AJ125">
        <f t="shared" si="122"/>
        <v>0</v>
      </c>
      <c r="AK125">
        <v>206.76</v>
      </c>
      <c r="AL125">
        <v>51.53</v>
      </c>
      <c r="AM125">
        <v>0.31</v>
      </c>
      <c r="AN125">
        <v>0.14000000000000001</v>
      </c>
      <c r="AO125">
        <v>154.91999999999999</v>
      </c>
      <c r="AP125">
        <v>0</v>
      </c>
      <c r="AQ125">
        <v>16.29</v>
      </c>
      <c r="AR125">
        <v>0.01</v>
      </c>
      <c r="AS125">
        <v>0</v>
      </c>
      <c r="AT125">
        <v>98</v>
      </c>
      <c r="AU125">
        <v>51</v>
      </c>
      <c r="AV125">
        <v>1</v>
      </c>
      <c r="AW125">
        <v>1</v>
      </c>
      <c r="AZ125">
        <v>1</v>
      </c>
      <c r="BA125">
        <v>1</v>
      </c>
      <c r="BB125">
        <v>1</v>
      </c>
      <c r="BC125">
        <v>1</v>
      </c>
      <c r="BD125" t="s">
        <v>2</v>
      </c>
      <c r="BE125" t="s">
        <v>2</v>
      </c>
      <c r="BF125" t="s">
        <v>2</v>
      </c>
      <c r="BG125" t="s">
        <v>2</v>
      </c>
      <c r="BH125">
        <v>0</v>
      </c>
      <c r="BI125">
        <v>2</v>
      </c>
      <c r="BJ125" t="s">
        <v>233</v>
      </c>
      <c r="BM125">
        <v>108001</v>
      </c>
      <c r="BN125">
        <v>0</v>
      </c>
      <c r="BO125" t="s">
        <v>2</v>
      </c>
      <c r="BP125">
        <v>0</v>
      </c>
      <c r="BQ125">
        <v>3</v>
      </c>
      <c r="BR125">
        <v>0</v>
      </c>
      <c r="BS125">
        <v>1</v>
      </c>
      <c r="BT125">
        <v>1</v>
      </c>
      <c r="BU125">
        <v>1</v>
      </c>
      <c r="BV125">
        <v>1</v>
      </c>
      <c r="BW125">
        <v>1</v>
      </c>
      <c r="BX125">
        <v>1</v>
      </c>
      <c r="BY125" t="s">
        <v>2</v>
      </c>
      <c r="BZ125">
        <v>98</v>
      </c>
      <c r="CA125">
        <v>51</v>
      </c>
      <c r="CE125">
        <v>0</v>
      </c>
      <c r="CF125">
        <v>0</v>
      </c>
      <c r="CG125">
        <v>0</v>
      </c>
      <c r="CM125">
        <v>0</v>
      </c>
      <c r="CN125" t="s">
        <v>804</v>
      </c>
      <c r="CO125">
        <v>0</v>
      </c>
      <c r="CP125">
        <f t="shared" si="123"/>
        <v>58</v>
      </c>
      <c r="CQ125">
        <f t="shared" si="124"/>
        <v>51.53</v>
      </c>
      <c r="CR125">
        <f t="shared" si="125"/>
        <v>0.4</v>
      </c>
      <c r="CS125">
        <f t="shared" si="126"/>
        <v>0.18</v>
      </c>
      <c r="CT125">
        <f t="shared" si="127"/>
        <v>201.4</v>
      </c>
      <c r="CU125">
        <f t="shared" si="128"/>
        <v>0</v>
      </c>
      <c r="CV125">
        <f t="shared" si="128"/>
        <v>21.177</v>
      </c>
      <c r="CW125">
        <f t="shared" si="128"/>
        <v>1.3000000000000001E-2</v>
      </c>
      <c r="CX125">
        <f t="shared" si="128"/>
        <v>0</v>
      </c>
      <c r="CY125">
        <f t="shared" si="129"/>
        <v>45.08</v>
      </c>
      <c r="CZ125">
        <f t="shared" si="130"/>
        <v>23.46</v>
      </c>
      <c r="DC125" t="s">
        <v>2</v>
      </c>
      <c r="DD125" t="s">
        <v>2</v>
      </c>
      <c r="DE125" t="s">
        <v>234</v>
      </c>
      <c r="DF125" t="s">
        <v>234</v>
      </c>
      <c r="DG125" t="s">
        <v>234</v>
      </c>
      <c r="DH125" t="s">
        <v>2</v>
      </c>
      <c r="DI125" t="s">
        <v>234</v>
      </c>
      <c r="DJ125" t="s">
        <v>234</v>
      </c>
      <c r="DK125" t="s">
        <v>2</v>
      </c>
      <c r="DL125" t="s">
        <v>2</v>
      </c>
      <c r="DM125" t="s">
        <v>2</v>
      </c>
      <c r="DN125">
        <v>0</v>
      </c>
      <c r="DO125">
        <v>0</v>
      </c>
      <c r="DP125">
        <v>1</v>
      </c>
      <c r="DQ125">
        <v>1</v>
      </c>
      <c r="DU125">
        <v>1003</v>
      </c>
      <c r="DV125" t="s">
        <v>78</v>
      </c>
      <c r="DW125" t="s">
        <v>78</v>
      </c>
      <c r="DX125">
        <v>100</v>
      </c>
      <c r="DZ125" t="s">
        <v>2</v>
      </c>
      <c r="EA125" t="s">
        <v>2</v>
      </c>
      <c r="EB125" t="s">
        <v>2</v>
      </c>
      <c r="EC125" t="s">
        <v>2</v>
      </c>
      <c r="EE125">
        <v>222773448</v>
      </c>
      <c r="EF125">
        <v>3</v>
      </c>
      <c r="EG125" t="s">
        <v>235</v>
      </c>
      <c r="EH125">
        <v>0</v>
      </c>
      <c r="EI125" t="s">
        <v>2</v>
      </c>
      <c r="EJ125">
        <v>2</v>
      </c>
      <c r="EK125">
        <v>108001</v>
      </c>
      <c r="EL125" t="s">
        <v>236</v>
      </c>
      <c r="EM125" t="s">
        <v>237</v>
      </c>
      <c r="EN125" t="s">
        <v>2</v>
      </c>
      <c r="EO125" t="s">
        <v>238</v>
      </c>
      <c r="EQ125">
        <v>768</v>
      </c>
      <c r="ER125">
        <v>206.76</v>
      </c>
      <c r="ES125">
        <v>51.53</v>
      </c>
      <c r="ET125">
        <v>0.31</v>
      </c>
      <c r="EU125">
        <v>0.14000000000000001</v>
      </c>
      <c r="EV125">
        <v>154.91999999999999</v>
      </c>
      <c r="EW125">
        <v>16.29</v>
      </c>
      <c r="EX125">
        <v>0.01</v>
      </c>
      <c r="EY125">
        <v>0</v>
      </c>
      <c r="FQ125">
        <v>0</v>
      </c>
      <c r="FR125">
        <f t="shared" si="131"/>
        <v>0</v>
      </c>
      <c r="FS125">
        <v>0</v>
      </c>
      <c r="FX125">
        <v>98</v>
      </c>
      <c r="FY125">
        <v>51</v>
      </c>
      <c r="GA125" t="s">
        <v>2</v>
      </c>
      <c r="GD125">
        <v>1</v>
      </c>
      <c r="GF125">
        <v>1500972489</v>
      </c>
      <c r="GG125">
        <v>2</v>
      </c>
      <c r="GH125">
        <v>1</v>
      </c>
      <c r="GI125">
        <v>-2</v>
      </c>
      <c r="GJ125">
        <v>0</v>
      </c>
      <c r="GK125">
        <v>0</v>
      </c>
      <c r="GL125">
        <f t="shared" si="132"/>
        <v>0</v>
      </c>
      <c r="GM125">
        <f t="shared" si="133"/>
        <v>126</v>
      </c>
      <c r="GN125">
        <f t="shared" si="134"/>
        <v>0</v>
      </c>
      <c r="GO125">
        <f t="shared" si="135"/>
        <v>126</v>
      </c>
      <c r="GP125">
        <f t="shared" si="136"/>
        <v>0</v>
      </c>
      <c r="GR125">
        <v>0</v>
      </c>
      <c r="GS125">
        <v>3</v>
      </c>
      <c r="GT125">
        <v>0</v>
      </c>
      <c r="GU125" t="s">
        <v>2</v>
      </c>
      <c r="GV125">
        <f t="shared" si="137"/>
        <v>0</v>
      </c>
      <c r="GW125">
        <v>1</v>
      </c>
      <c r="GX125">
        <f t="shared" si="138"/>
        <v>0</v>
      </c>
      <c r="HA125">
        <v>0</v>
      </c>
      <c r="HB125">
        <v>0</v>
      </c>
      <c r="HC125">
        <f t="shared" si="139"/>
        <v>0</v>
      </c>
      <c r="HE125" t="s">
        <v>2</v>
      </c>
      <c r="HF125" t="s">
        <v>2</v>
      </c>
      <c r="IK125">
        <v>0</v>
      </c>
    </row>
    <row r="126" spans="1:245" x14ac:dyDescent="0.2">
      <c r="A126">
        <v>17</v>
      </c>
      <c r="B126">
        <v>1</v>
      </c>
      <c r="E126" t="s">
        <v>239</v>
      </c>
      <c r="F126" t="s">
        <v>240</v>
      </c>
      <c r="G126" t="s">
        <v>241</v>
      </c>
      <c r="H126" t="s">
        <v>195</v>
      </c>
      <c r="I126">
        <v>23</v>
      </c>
      <c r="J126">
        <v>0</v>
      </c>
      <c r="O126">
        <f t="shared" si="110"/>
        <v>27</v>
      </c>
      <c r="P126">
        <f t="shared" si="111"/>
        <v>27</v>
      </c>
      <c r="Q126">
        <f t="shared" si="112"/>
        <v>0</v>
      </c>
      <c r="R126">
        <f t="shared" si="113"/>
        <v>0</v>
      </c>
      <c r="S126">
        <f t="shared" si="114"/>
        <v>0</v>
      </c>
      <c r="T126">
        <f t="shared" si="115"/>
        <v>0</v>
      </c>
      <c r="U126">
        <f t="shared" si="116"/>
        <v>0</v>
      </c>
      <c r="V126">
        <f t="shared" si="117"/>
        <v>0</v>
      </c>
      <c r="W126">
        <f t="shared" si="118"/>
        <v>0</v>
      </c>
      <c r="X126">
        <f t="shared" si="119"/>
        <v>0</v>
      </c>
      <c r="Y126">
        <f t="shared" si="119"/>
        <v>0</v>
      </c>
      <c r="AA126">
        <v>224527337</v>
      </c>
      <c r="AB126">
        <f t="shared" si="120"/>
        <v>1.18</v>
      </c>
      <c r="AC126">
        <f>ROUND((ES126),2)</f>
        <v>1.18</v>
      </c>
      <c r="AD126">
        <f>ROUND((((ET126)-(EU126))+AE126),2)</f>
        <v>0</v>
      </c>
      <c r="AE126">
        <f>ROUND((EU126),2)</f>
        <v>0</v>
      </c>
      <c r="AF126">
        <f>ROUND((EV126),2)</f>
        <v>0</v>
      </c>
      <c r="AG126">
        <f t="shared" si="121"/>
        <v>0</v>
      </c>
      <c r="AH126">
        <f>(EW126)</f>
        <v>0</v>
      </c>
      <c r="AI126">
        <f>(EX126)</f>
        <v>0</v>
      </c>
      <c r="AJ126">
        <f t="shared" si="122"/>
        <v>0</v>
      </c>
      <c r="AK126">
        <v>1.18</v>
      </c>
      <c r="AL126">
        <v>1.18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1</v>
      </c>
      <c r="AW126">
        <v>1</v>
      </c>
      <c r="AZ126">
        <v>1</v>
      </c>
      <c r="BA126">
        <v>1</v>
      </c>
      <c r="BB126">
        <v>1</v>
      </c>
      <c r="BC126">
        <v>1</v>
      </c>
      <c r="BD126" t="s">
        <v>2</v>
      </c>
      <c r="BE126" t="s">
        <v>2</v>
      </c>
      <c r="BF126" t="s">
        <v>2</v>
      </c>
      <c r="BG126" t="s">
        <v>2</v>
      </c>
      <c r="BH126">
        <v>3</v>
      </c>
      <c r="BI126">
        <v>2</v>
      </c>
      <c r="BJ126" t="s">
        <v>242</v>
      </c>
      <c r="BM126">
        <v>500002</v>
      </c>
      <c r="BN126">
        <v>0</v>
      </c>
      <c r="BO126" t="s">
        <v>2</v>
      </c>
      <c r="BP126">
        <v>0</v>
      </c>
      <c r="BQ126">
        <v>12</v>
      </c>
      <c r="BR126">
        <v>0</v>
      </c>
      <c r="BS126">
        <v>1</v>
      </c>
      <c r="BT126">
        <v>1</v>
      </c>
      <c r="BU126">
        <v>1</v>
      </c>
      <c r="BV126">
        <v>1</v>
      </c>
      <c r="BW126">
        <v>1</v>
      </c>
      <c r="BX126">
        <v>1</v>
      </c>
      <c r="BY126" t="s">
        <v>2</v>
      </c>
      <c r="BZ126">
        <v>0</v>
      </c>
      <c r="CA126">
        <v>0</v>
      </c>
      <c r="CE126">
        <v>0</v>
      </c>
      <c r="CF126">
        <v>0</v>
      </c>
      <c r="CG126">
        <v>0</v>
      </c>
      <c r="CM126">
        <v>0</v>
      </c>
      <c r="CN126" t="s">
        <v>2</v>
      </c>
      <c r="CO126">
        <v>0</v>
      </c>
      <c r="CP126">
        <f t="shared" si="123"/>
        <v>27</v>
      </c>
      <c r="CQ126">
        <f t="shared" si="124"/>
        <v>1.18</v>
      </c>
      <c r="CR126">
        <f t="shared" si="125"/>
        <v>0</v>
      </c>
      <c r="CS126">
        <f t="shared" si="126"/>
        <v>0</v>
      </c>
      <c r="CT126">
        <f t="shared" si="127"/>
        <v>0</v>
      </c>
      <c r="CU126">
        <f t="shared" si="128"/>
        <v>0</v>
      </c>
      <c r="CV126">
        <f t="shared" si="128"/>
        <v>0</v>
      </c>
      <c r="CW126">
        <f t="shared" si="128"/>
        <v>0</v>
      </c>
      <c r="CX126">
        <f t="shared" si="128"/>
        <v>0</v>
      </c>
      <c r="CY126">
        <f t="shared" si="129"/>
        <v>0</v>
      </c>
      <c r="CZ126">
        <f t="shared" si="130"/>
        <v>0</v>
      </c>
      <c r="DC126" t="s">
        <v>2</v>
      </c>
      <c r="DD126" t="s">
        <v>2</v>
      </c>
      <c r="DE126" t="s">
        <v>2</v>
      </c>
      <c r="DF126" t="s">
        <v>2</v>
      </c>
      <c r="DG126" t="s">
        <v>2</v>
      </c>
      <c r="DH126" t="s">
        <v>2</v>
      </c>
      <c r="DI126" t="s">
        <v>2</v>
      </c>
      <c r="DJ126" t="s">
        <v>2</v>
      </c>
      <c r="DK126" t="s">
        <v>2</v>
      </c>
      <c r="DL126" t="s">
        <v>2</v>
      </c>
      <c r="DM126" t="s">
        <v>2</v>
      </c>
      <c r="DN126">
        <v>0</v>
      </c>
      <c r="DO126">
        <v>0</v>
      </c>
      <c r="DP126">
        <v>1</v>
      </c>
      <c r="DQ126">
        <v>1</v>
      </c>
      <c r="DU126">
        <v>1003</v>
      </c>
      <c r="DV126" t="s">
        <v>195</v>
      </c>
      <c r="DW126" t="s">
        <v>195</v>
      </c>
      <c r="DX126">
        <v>1</v>
      </c>
      <c r="DZ126" t="s">
        <v>2</v>
      </c>
      <c r="EA126" t="s">
        <v>2</v>
      </c>
      <c r="EB126" t="s">
        <v>2</v>
      </c>
      <c r="EC126" t="s">
        <v>2</v>
      </c>
      <c r="EE126">
        <v>222773500</v>
      </c>
      <c r="EF126">
        <v>12</v>
      </c>
      <c r="EG126" t="s">
        <v>243</v>
      </c>
      <c r="EH126">
        <v>0</v>
      </c>
      <c r="EI126" t="s">
        <v>2</v>
      </c>
      <c r="EJ126">
        <v>2</v>
      </c>
      <c r="EK126">
        <v>500002</v>
      </c>
      <c r="EL126" t="s">
        <v>244</v>
      </c>
      <c r="EM126" t="s">
        <v>245</v>
      </c>
      <c r="EN126" t="s">
        <v>2</v>
      </c>
      <c r="EO126" t="s">
        <v>2</v>
      </c>
      <c r="EQ126">
        <v>512</v>
      </c>
      <c r="ER126">
        <v>1.18</v>
      </c>
      <c r="ES126">
        <v>1.18</v>
      </c>
      <c r="ET126">
        <v>0</v>
      </c>
      <c r="EU126">
        <v>0</v>
      </c>
      <c r="EV126">
        <v>0</v>
      </c>
      <c r="EW126">
        <v>0</v>
      </c>
      <c r="EX126">
        <v>0</v>
      </c>
      <c r="EY126">
        <v>0</v>
      </c>
      <c r="FQ126">
        <v>0</v>
      </c>
      <c r="FR126">
        <f t="shared" si="131"/>
        <v>0</v>
      </c>
      <c r="FS126">
        <v>0</v>
      </c>
      <c r="FX126">
        <v>0</v>
      </c>
      <c r="FY126">
        <v>0</v>
      </c>
      <c r="GA126" t="s">
        <v>2</v>
      </c>
      <c r="GD126">
        <v>1</v>
      </c>
      <c r="GF126">
        <v>-368934643</v>
      </c>
      <c r="GG126">
        <v>2</v>
      </c>
      <c r="GH126">
        <v>1</v>
      </c>
      <c r="GI126">
        <v>-2</v>
      </c>
      <c r="GJ126">
        <v>0</v>
      </c>
      <c r="GK126">
        <v>0</v>
      </c>
      <c r="GL126">
        <f t="shared" si="132"/>
        <v>0</v>
      </c>
      <c r="GM126">
        <f t="shared" si="133"/>
        <v>27</v>
      </c>
      <c r="GN126">
        <f t="shared" si="134"/>
        <v>0</v>
      </c>
      <c r="GO126">
        <f t="shared" si="135"/>
        <v>27</v>
      </c>
      <c r="GP126">
        <f t="shared" si="136"/>
        <v>0</v>
      </c>
      <c r="GR126">
        <v>0</v>
      </c>
      <c r="GS126">
        <v>3</v>
      </c>
      <c r="GT126">
        <v>0</v>
      </c>
      <c r="GU126" t="s">
        <v>2</v>
      </c>
      <c r="GV126">
        <f t="shared" si="137"/>
        <v>0</v>
      </c>
      <c r="GW126">
        <v>1</v>
      </c>
      <c r="GX126">
        <f t="shared" si="138"/>
        <v>0</v>
      </c>
      <c r="HA126">
        <v>0</v>
      </c>
      <c r="HB126">
        <v>0</v>
      </c>
      <c r="HC126">
        <f t="shared" si="139"/>
        <v>0</v>
      </c>
      <c r="HE126" t="s">
        <v>2</v>
      </c>
      <c r="HF126" t="s">
        <v>2</v>
      </c>
      <c r="IK126">
        <v>0</v>
      </c>
    </row>
    <row r="127" spans="1:245" x14ac:dyDescent="0.2">
      <c r="A127">
        <v>17</v>
      </c>
      <c r="B127">
        <v>1</v>
      </c>
      <c r="C127">
        <f>ROW(SmtRes!A113)</f>
        <v>113</v>
      </c>
      <c r="D127">
        <f>ROW(EtalonRes!A133)</f>
        <v>133</v>
      </c>
      <c r="E127" t="s">
        <v>246</v>
      </c>
      <c r="F127" t="s">
        <v>247</v>
      </c>
      <c r="G127" t="s">
        <v>248</v>
      </c>
      <c r="H127" t="s">
        <v>78</v>
      </c>
      <c r="I127">
        <f>ROUND(23/100,9)</f>
        <v>0.23</v>
      </c>
      <c r="J127">
        <v>0</v>
      </c>
      <c r="O127">
        <f t="shared" si="110"/>
        <v>14</v>
      </c>
      <c r="P127">
        <f t="shared" si="111"/>
        <v>2</v>
      </c>
      <c r="Q127">
        <f t="shared" si="112"/>
        <v>1</v>
      </c>
      <c r="R127">
        <f t="shared" si="113"/>
        <v>0</v>
      </c>
      <c r="S127">
        <f t="shared" si="114"/>
        <v>11</v>
      </c>
      <c r="T127">
        <f t="shared" si="115"/>
        <v>0</v>
      </c>
      <c r="U127">
        <f t="shared" si="116"/>
        <v>1.1804520000000003</v>
      </c>
      <c r="V127">
        <f t="shared" si="117"/>
        <v>5.9800000000000009E-3</v>
      </c>
      <c r="W127">
        <f t="shared" si="118"/>
        <v>0</v>
      </c>
      <c r="X127">
        <f t="shared" si="119"/>
        <v>11</v>
      </c>
      <c r="Y127">
        <f t="shared" si="119"/>
        <v>6</v>
      </c>
      <c r="AA127">
        <v>224527337</v>
      </c>
      <c r="AB127">
        <f t="shared" si="120"/>
        <v>61.4</v>
      </c>
      <c r="AC127">
        <f>ROUND((ES127),2)</f>
        <v>10.8</v>
      </c>
      <c r="AD127">
        <f>ROUND(((((ET127*1.3))-((EU127*1.3)))+AE127),2)</f>
        <v>2.36</v>
      </c>
      <c r="AE127">
        <f>ROUND(((EU127*1.3)),2)</f>
        <v>0.34</v>
      </c>
      <c r="AF127">
        <f>ROUND((((EV127*1.3)*1.05)),2)</f>
        <v>48.24</v>
      </c>
      <c r="AG127">
        <f t="shared" si="121"/>
        <v>0</v>
      </c>
      <c r="AH127">
        <f>(((EW127*1.3)*1.05))</f>
        <v>5.1324000000000005</v>
      </c>
      <c r="AI127">
        <f>((EX127*1.3))</f>
        <v>2.6000000000000002E-2</v>
      </c>
      <c r="AJ127">
        <f t="shared" si="122"/>
        <v>0</v>
      </c>
      <c r="AK127">
        <v>47.95</v>
      </c>
      <c r="AL127">
        <v>10.8</v>
      </c>
      <c r="AM127">
        <v>1.81</v>
      </c>
      <c r="AN127">
        <v>0.26</v>
      </c>
      <c r="AO127">
        <v>35.340000000000003</v>
      </c>
      <c r="AP127">
        <v>0</v>
      </c>
      <c r="AQ127">
        <v>3.76</v>
      </c>
      <c r="AR127">
        <v>0.02</v>
      </c>
      <c r="AS127">
        <v>0</v>
      </c>
      <c r="AT127">
        <v>98</v>
      </c>
      <c r="AU127">
        <v>51</v>
      </c>
      <c r="AV127">
        <v>1</v>
      </c>
      <c r="AW127">
        <v>1</v>
      </c>
      <c r="AZ127">
        <v>1</v>
      </c>
      <c r="BA127">
        <v>1</v>
      </c>
      <c r="BB127">
        <v>1</v>
      </c>
      <c r="BC127">
        <v>1</v>
      </c>
      <c r="BD127" t="s">
        <v>2</v>
      </c>
      <c r="BE127" t="s">
        <v>2</v>
      </c>
      <c r="BF127" t="s">
        <v>2</v>
      </c>
      <c r="BG127" t="s">
        <v>2</v>
      </c>
      <c r="BH127">
        <v>0</v>
      </c>
      <c r="BI127">
        <v>2</v>
      </c>
      <c r="BJ127" t="s">
        <v>249</v>
      </c>
      <c r="BM127">
        <v>108001</v>
      </c>
      <c r="BN127">
        <v>0</v>
      </c>
      <c r="BO127" t="s">
        <v>2</v>
      </c>
      <c r="BP127">
        <v>0</v>
      </c>
      <c r="BQ127">
        <v>3</v>
      </c>
      <c r="BR127">
        <v>0</v>
      </c>
      <c r="BS127">
        <v>1</v>
      </c>
      <c r="BT127">
        <v>1</v>
      </c>
      <c r="BU127">
        <v>1</v>
      </c>
      <c r="BV127">
        <v>1</v>
      </c>
      <c r="BW127">
        <v>1</v>
      </c>
      <c r="BX127">
        <v>1</v>
      </c>
      <c r="BY127" t="s">
        <v>2</v>
      </c>
      <c r="BZ127">
        <v>98</v>
      </c>
      <c r="CA127">
        <v>51</v>
      </c>
      <c r="CE127">
        <v>0</v>
      </c>
      <c r="CF127">
        <v>0</v>
      </c>
      <c r="CG127">
        <v>0</v>
      </c>
      <c r="CM127">
        <v>0</v>
      </c>
      <c r="CN127" t="s">
        <v>805</v>
      </c>
      <c r="CO127">
        <v>0</v>
      </c>
      <c r="CP127">
        <f t="shared" si="123"/>
        <v>14</v>
      </c>
      <c r="CQ127">
        <f t="shared" si="124"/>
        <v>10.8</v>
      </c>
      <c r="CR127">
        <f t="shared" si="125"/>
        <v>2.36</v>
      </c>
      <c r="CS127">
        <f t="shared" si="126"/>
        <v>0.34</v>
      </c>
      <c r="CT127">
        <f t="shared" si="127"/>
        <v>48.24</v>
      </c>
      <c r="CU127">
        <f t="shared" si="128"/>
        <v>0</v>
      </c>
      <c r="CV127">
        <f t="shared" si="128"/>
        <v>5.1324000000000005</v>
      </c>
      <c r="CW127">
        <f t="shared" si="128"/>
        <v>2.6000000000000002E-2</v>
      </c>
      <c r="CX127">
        <f t="shared" si="128"/>
        <v>0</v>
      </c>
      <c r="CY127">
        <f t="shared" si="129"/>
        <v>10.78</v>
      </c>
      <c r="CZ127">
        <f t="shared" si="130"/>
        <v>5.61</v>
      </c>
      <c r="DC127" t="s">
        <v>2</v>
      </c>
      <c r="DD127" t="s">
        <v>2</v>
      </c>
      <c r="DE127" t="s">
        <v>234</v>
      </c>
      <c r="DF127" t="s">
        <v>234</v>
      </c>
      <c r="DG127" t="s">
        <v>250</v>
      </c>
      <c r="DH127" t="s">
        <v>2</v>
      </c>
      <c r="DI127" t="s">
        <v>250</v>
      </c>
      <c r="DJ127" t="s">
        <v>234</v>
      </c>
      <c r="DK127" t="s">
        <v>2</v>
      </c>
      <c r="DL127" t="s">
        <v>2</v>
      </c>
      <c r="DM127" t="s">
        <v>2</v>
      </c>
      <c r="DN127">
        <v>0</v>
      </c>
      <c r="DO127">
        <v>0</v>
      </c>
      <c r="DP127">
        <v>1</v>
      </c>
      <c r="DQ127">
        <v>1</v>
      </c>
      <c r="DU127">
        <v>1003</v>
      </c>
      <c r="DV127" t="s">
        <v>78</v>
      </c>
      <c r="DW127" t="s">
        <v>78</v>
      </c>
      <c r="DX127">
        <v>100</v>
      </c>
      <c r="DZ127" t="s">
        <v>2</v>
      </c>
      <c r="EA127" t="s">
        <v>2</v>
      </c>
      <c r="EB127" t="s">
        <v>2</v>
      </c>
      <c r="EC127" t="s">
        <v>2</v>
      </c>
      <c r="EE127">
        <v>222773448</v>
      </c>
      <c r="EF127">
        <v>3</v>
      </c>
      <c r="EG127" t="s">
        <v>235</v>
      </c>
      <c r="EH127">
        <v>0</v>
      </c>
      <c r="EI127" t="s">
        <v>2</v>
      </c>
      <c r="EJ127">
        <v>2</v>
      </c>
      <c r="EK127">
        <v>108001</v>
      </c>
      <c r="EL127" t="s">
        <v>236</v>
      </c>
      <c r="EM127" t="s">
        <v>237</v>
      </c>
      <c r="EN127" t="s">
        <v>2</v>
      </c>
      <c r="EO127" t="s">
        <v>251</v>
      </c>
      <c r="EQ127">
        <v>768</v>
      </c>
      <c r="ER127">
        <v>47.95</v>
      </c>
      <c r="ES127">
        <v>10.8</v>
      </c>
      <c r="ET127">
        <v>1.81</v>
      </c>
      <c r="EU127">
        <v>0.26</v>
      </c>
      <c r="EV127">
        <v>35.340000000000003</v>
      </c>
      <c r="EW127">
        <v>3.76</v>
      </c>
      <c r="EX127">
        <v>0.02</v>
      </c>
      <c r="EY127">
        <v>0</v>
      </c>
      <c r="FQ127">
        <v>0</v>
      </c>
      <c r="FR127">
        <f t="shared" si="131"/>
        <v>0</v>
      </c>
      <c r="FS127">
        <v>0</v>
      </c>
      <c r="FX127">
        <v>98</v>
      </c>
      <c r="FY127">
        <v>51</v>
      </c>
      <c r="GA127" t="s">
        <v>2</v>
      </c>
      <c r="GD127">
        <v>1</v>
      </c>
      <c r="GF127">
        <v>-449589301</v>
      </c>
      <c r="GG127">
        <v>2</v>
      </c>
      <c r="GH127">
        <v>1</v>
      </c>
      <c r="GI127">
        <v>-2</v>
      </c>
      <c r="GJ127">
        <v>0</v>
      </c>
      <c r="GK127">
        <v>0</v>
      </c>
      <c r="GL127">
        <f t="shared" si="132"/>
        <v>0</v>
      </c>
      <c r="GM127">
        <f t="shared" si="133"/>
        <v>31</v>
      </c>
      <c r="GN127">
        <f t="shared" si="134"/>
        <v>0</v>
      </c>
      <c r="GO127">
        <f t="shared" si="135"/>
        <v>31</v>
      </c>
      <c r="GP127">
        <f t="shared" si="136"/>
        <v>0</v>
      </c>
      <c r="GR127">
        <v>0</v>
      </c>
      <c r="GS127">
        <v>3</v>
      </c>
      <c r="GT127">
        <v>0</v>
      </c>
      <c r="GU127" t="s">
        <v>2</v>
      </c>
      <c r="GV127">
        <f t="shared" si="137"/>
        <v>0</v>
      </c>
      <c r="GW127">
        <v>1</v>
      </c>
      <c r="GX127">
        <f t="shared" si="138"/>
        <v>0</v>
      </c>
      <c r="HA127">
        <v>0</v>
      </c>
      <c r="HB127">
        <v>0</v>
      </c>
      <c r="HC127">
        <f t="shared" si="139"/>
        <v>0</v>
      </c>
      <c r="HE127" t="s">
        <v>2</v>
      </c>
      <c r="HF127" t="s">
        <v>2</v>
      </c>
      <c r="IK127">
        <v>0</v>
      </c>
    </row>
    <row r="128" spans="1:245" x14ac:dyDescent="0.2">
      <c r="A128">
        <v>17</v>
      </c>
      <c r="B128">
        <v>1</v>
      </c>
      <c r="E128" t="s">
        <v>252</v>
      </c>
      <c r="F128" t="s">
        <v>253</v>
      </c>
      <c r="G128" t="s">
        <v>254</v>
      </c>
      <c r="H128" t="s">
        <v>255</v>
      </c>
      <c r="I128">
        <f>ROUND(23*1.03/1000,9)</f>
        <v>2.3689999999999999E-2</v>
      </c>
      <c r="J128">
        <v>0</v>
      </c>
      <c r="O128">
        <f t="shared" si="110"/>
        <v>32</v>
      </c>
      <c r="P128">
        <f t="shared" si="111"/>
        <v>32</v>
      </c>
      <c r="Q128">
        <f t="shared" si="112"/>
        <v>0</v>
      </c>
      <c r="R128">
        <f t="shared" si="113"/>
        <v>0</v>
      </c>
      <c r="S128">
        <f t="shared" si="114"/>
        <v>0</v>
      </c>
      <c r="T128">
        <f t="shared" si="115"/>
        <v>0</v>
      </c>
      <c r="U128">
        <f t="shared" si="116"/>
        <v>0</v>
      </c>
      <c r="V128">
        <f t="shared" si="117"/>
        <v>0</v>
      </c>
      <c r="W128">
        <f t="shared" si="118"/>
        <v>0</v>
      </c>
      <c r="X128">
        <f t="shared" si="119"/>
        <v>0</v>
      </c>
      <c r="Y128">
        <f t="shared" si="119"/>
        <v>0</v>
      </c>
      <c r="AA128">
        <v>224527337</v>
      </c>
      <c r="AB128">
        <f t="shared" si="120"/>
        <v>1335.52</v>
      </c>
      <c r="AC128">
        <f>ROUND((ES128),2)</f>
        <v>1335.52</v>
      </c>
      <c r="AD128">
        <f>ROUND((((ET128)-(EU128))+AE128),2)</f>
        <v>0</v>
      </c>
      <c r="AE128">
        <f>ROUND((EU128),2)</f>
        <v>0</v>
      </c>
      <c r="AF128">
        <f>ROUND((EV128),2)</f>
        <v>0</v>
      </c>
      <c r="AG128">
        <f t="shared" si="121"/>
        <v>0</v>
      </c>
      <c r="AH128">
        <f>(EW128)</f>
        <v>0</v>
      </c>
      <c r="AI128">
        <f>(EX128)</f>
        <v>0</v>
      </c>
      <c r="AJ128">
        <f t="shared" si="122"/>
        <v>0</v>
      </c>
      <c r="AK128">
        <v>1335.52</v>
      </c>
      <c r="AL128">
        <v>1335.52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1</v>
      </c>
      <c r="AW128">
        <v>1</v>
      </c>
      <c r="AZ128">
        <v>1</v>
      </c>
      <c r="BA128">
        <v>1</v>
      </c>
      <c r="BB128">
        <v>1</v>
      </c>
      <c r="BC128">
        <v>1</v>
      </c>
      <c r="BD128" t="s">
        <v>2</v>
      </c>
      <c r="BE128" t="s">
        <v>2</v>
      </c>
      <c r="BF128" t="s">
        <v>2</v>
      </c>
      <c r="BG128" t="s">
        <v>2</v>
      </c>
      <c r="BH128">
        <v>3</v>
      </c>
      <c r="BI128">
        <v>2</v>
      </c>
      <c r="BJ128" t="s">
        <v>256</v>
      </c>
      <c r="BM128">
        <v>500002</v>
      </c>
      <c r="BN128">
        <v>0</v>
      </c>
      <c r="BO128" t="s">
        <v>2</v>
      </c>
      <c r="BP128">
        <v>0</v>
      </c>
      <c r="BQ128">
        <v>12</v>
      </c>
      <c r="BR128">
        <v>0</v>
      </c>
      <c r="BS128">
        <v>1</v>
      </c>
      <c r="BT128">
        <v>1</v>
      </c>
      <c r="BU128">
        <v>1</v>
      </c>
      <c r="BV128">
        <v>1</v>
      </c>
      <c r="BW128">
        <v>1</v>
      </c>
      <c r="BX128">
        <v>1</v>
      </c>
      <c r="BY128" t="s">
        <v>2</v>
      </c>
      <c r="BZ128">
        <v>0</v>
      </c>
      <c r="CA128">
        <v>0</v>
      </c>
      <c r="CE128">
        <v>0</v>
      </c>
      <c r="CF128">
        <v>0</v>
      </c>
      <c r="CG128">
        <v>0</v>
      </c>
      <c r="CM128">
        <v>0</v>
      </c>
      <c r="CN128" t="s">
        <v>2</v>
      </c>
      <c r="CO128">
        <v>0</v>
      </c>
      <c r="CP128">
        <f t="shared" si="123"/>
        <v>32</v>
      </c>
      <c r="CQ128">
        <f t="shared" si="124"/>
        <v>1335.52</v>
      </c>
      <c r="CR128">
        <f t="shared" si="125"/>
        <v>0</v>
      </c>
      <c r="CS128">
        <f t="shared" si="126"/>
        <v>0</v>
      </c>
      <c r="CT128">
        <f t="shared" si="127"/>
        <v>0</v>
      </c>
      <c r="CU128">
        <f t="shared" si="128"/>
        <v>0</v>
      </c>
      <c r="CV128">
        <f t="shared" si="128"/>
        <v>0</v>
      </c>
      <c r="CW128">
        <f t="shared" si="128"/>
        <v>0</v>
      </c>
      <c r="CX128">
        <f t="shared" si="128"/>
        <v>0</v>
      </c>
      <c r="CY128">
        <f t="shared" si="129"/>
        <v>0</v>
      </c>
      <c r="CZ128">
        <f t="shared" si="130"/>
        <v>0</v>
      </c>
      <c r="DC128" t="s">
        <v>2</v>
      </c>
      <c r="DD128" t="s">
        <v>2</v>
      </c>
      <c r="DE128" t="s">
        <v>2</v>
      </c>
      <c r="DF128" t="s">
        <v>2</v>
      </c>
      <c r="DG128" t="s">
        <v>2</v>
      </c>
      <c r="DH128" t="s">
        <v>2</v>
      </c>
      <c r="DI128" t="s">
        <v>2</v>
      </c>
      <c r="DJ128" t="s">
        <v>2</v>
      </c>
      <c r="DK128" t="s">
        <v>2</v>
      </c>
      <c r="DL128" t="s">
        <v>2</v>
      </c>
      <c r="DM128" t="s">
        <v>2</v>
      </c>
      <c r="DN128">
        <v>0</v>
      </c>
      <c r="DO128">
        <v>0</v>
      </c>
      <c r="DP128">
        <v>1</v>
      </c>
      <c r="DQ128">
        <v>1</v>
      </c>
      <c r="DU128">
        <v>74472246</v>
      </c>
      <c r="DV128" t="s">
        <v>255</v>
      </c>
      <c r="DW128" t="s">
        <v>257</v>
      </c>
      <c r="DX128">
        <v>1</v>
      </c>
      <c r="DZ128" t="s">
        <v>2</v>
      </c>
      <c r="EA128" t="s">
        <v>2</v>
      </c>
      <c r="EB128" t="s">
        <v>2</v>
      </c>
      <c r="EC128" t="s">
        <v>2</v>
      </c>
      <c r="EE128">
        <v>222773500</v>
      </c>
      <c r="EF128">
        <v>12</v>
      </c>
      <c r="EG128" t="s">
        <v>243</v>
      </c>
      <c r="EH128">
        <v>0</v>
      </c>
      <c r="EI128" t="s">
        <v>2</v>
      </c>
      <c r="EJ128">
        <v>2</v>
      </c>
      <c r="EK128">
        <v>500002</v>
      </c>
      <c r="EL128" t="s">
        <v>244</v>
      </c>
      <c r="EM128" t="s">
        <v>245</v>
      </c>
      <c r="EN128" t="s">
        <v>2</v>
      </c>
      <c r="EO128" t="s">
        <v>2</v>
      </c>
      <c r="EQ128">
        <v>0</v>
      </c>
      <c r="ER128">
        <v>1335.52</v>
      </c>
      <c r="ES128">
        <v>1335.52</v>
      </c>
      <c r="ET128">
        <v>0</v>
      </c>
      <c r="EU128">
        <v>0</v>
      </c>
      <c r="EV128">
        <v>0</v>
      </c>
      <c r="EW128">
        <v>0</v>
      </c>
      <c r="EX128">
        <v>0</v>
      </c>
      <c r="EY128">
        <v>0</v>
      </c>
      <c r="FQ128">
        <v>0</v>
      </c>
      <c r="FR128">
        <f t="shared" si="131"/>
        <v>0</v>
      </c>
      <c r="FS128">
        <v>0</v>
      </c>
      <c r="FX128">
        <v>0</v>
      </c>
      <c r="FY128">
        <v>0</v>
      </c>
      <c r="GA128" t="s">
        <v>2</v>
      </c>
      <c r="GD128">
        <v>1</v>
      </c>
      <c r="GF128">
        <v>-4870065</v>
      </c>
      <c r="GG128">
        <v>2</v>
      </c>
      <c r="GH128">
        <v>1</v>
      </c>
      <c r="GI128">
        <v>-2</v>
      </c>
      <c r="GJ128">
        <v>0</v>
      </c>
      <c r="GK128">
        <v>0</v>
      </c>
      <c r="GL128">
        <f t="shared" si="132"/>
        <v>0</v>
      </c>
      <c r="GM128">
        <f t="shared" si="133"/>
        <v>32</v>
      </c>
      <c r="GN128">
        <f t="shared" si="134"/>
        <v>0</v>
      </c>
      <c r="GO128">
        <f t="shared" si="135"/>
        <v>32</v>
      </c>
      <c r="GP128">
        <f t="shared" si="136"/>
        <v>0</v>
      </c>
      <c r="GR128">
        <v>0</v>
      </c>
      <c r="GS128">
        <v>3</v>
      </c>
      <c r="GT128">
        <v>0</v>
      </c>
      <c r="GU128" t="s">
        <v>2</v>
      </c>
      <c r="GV128">
        <f t="shared" si="137"/>
        <v>0</v>
      </c>
      <c r="GW128">
        <v>1</v>
      </c>
      <c r="GX128">
        <f t="shared" si="138"/>
        <v>0</v>
      </c>
      <c r="HA128">
        <v>0</v>
      </c>
      <c r="HB128">
        <v>0</v>
      </c>
      <c r="HC128">
        <f t="shared" si="139"/>
        <v>0</v>
      </c>
      <c r="HE128" t="s">
        <v>2</v>
      </c>
      <c r="HF128" t="s">
        <v>2</v>
      </c>
      <c r="IK128">
        <v>0</v>
      </c>
    </row>
    <row r="130" spans="1:206" x14ac:dyDescent="0.2">
      <c r="A130" s="2">
        <v>51</v>
      </c>
      <c r="B130" s="2">
        <f>B119</f>
        <v>1</v>
      </c>
      <c r="C130" s="2">
        <f>A119</f>
        <v>4</v>
      </c>
      <c r="D130" s="2">
        <f>ROW(A119)</f>
        <v>119</v>
      </c>
      <c r="E130" s="2"/>
      <c r="F130" s="2" t="str">
        <f>IF(F119&lt;&gt;"",F119,"")</f>
        <v>Новый раздел</v>
      </c>
      <c r="G130" s="2" t="str">
        <f>IF(G119&lt;&gt;"",G119,"")</f>
        <v>Помещение распределительных устройств</v>
      </c>
      <c r="H130" s="2">
        <v>0</v>
      </c>
      <c r="I130" s="2"/>
      <c r="J130" s="2"/>
      <c r="K130" s="2"/>
      <c r="L130" s="2"/>
      <c r="M130" s="2"/>
      <c r="N130" s="2"/>
      <c r="O130" s="2">
        <f t="shared" ref="O130:T130" si="140">ROUND(AB130,0)</f>
        <v>508</v>
      </c>
      <c r="P130" s="2">
        <f t="shared" si="140"/>
        <v>73</v>
      </c>
      <c r="Q130" s="2">
        <f t="shared" si="140"/>
        <v>249</v>
      </c>
      <c r="R130" s="2">
        <f t="shared" si="140"/>
        <v>0</v>
      </c>
      <c r="S130" s="2">
        <f t="shared" si="140"/>
        <v>186</v>
      </c>
      <c r="T130" s="2">
        <f t="shared" si="140"/>
        <v>0</v>
      </c>
      <c r="U130" s="2">
        <f>AH130</f>
        <v>20.963339499999996</v>
      </c>
      <c r="V130" s="2">
        <f>AI130</f>
        <v>8.9700000000000023E-3</v>
      </c>
      <c r="W130" s="2">
        <f>ROUND(AJ130,0)</f>
        <v>0</v>
      </c>
      <c r="X130" s="2">
        <f>ROUND(AK130,0)</f>
        <v>179</v>
      </c>
      <c r="Y130" s="2">
        <f>ROUND(AL130,0)</f>
        <v>87</v>
      </c>
      <c r="Z130" s="2"/>
      <c r="AA130" s="2"/>
      <c r="AB130" s="2">
        <f>ROUND(SUMIF(AA123:AA128,"=224527337",O123:O128),0)</f>
        <v>508</v>
      </c>
      <c r="AC130" s="2">
        <f>ROUND(SUMIF(AA123:AA128,"=224527337",P123:P128),0)</f>
        <v>73</v>
      </c>
      <c r="AD130" s="2">
        <f>ROUND(SUMIF(AA123:AA128,"=224527337",Q123:Q128),0)</f>
        <v>249</v>
      </c>
      <c r="AE130" s="2">
        <f>ROUND(SUMIF(AA123:AA128,"=224527337",R123:R128),0)</f>
        <v>0</v>
      </c>
      <c r="AF130" s="2">
        <f>ROUND(SUMIF(AA123:AA128,"=224527337",S123:S128),0)</f>
        <v>186</v>
      </c>
      <c r="AG130" s="2">
        <f>ROUND(SUMIF(AA123:AA128,"=224527337",T123:T128),0)</f>
        <v>0</v>
      </c>
      <c r="AH130" s="2">
        <f>SUMIF(AA123:AA128,"=224527337",U123:U128)</f>
        <v>20.963339499999996</v>
      </c>
      <c r="AI130" s="2">
        <f>SUMIF(AA123:AA128,"=224527337",V123:V128)</f>
        <v>8.9700000000000023E-3</v>
      </c>
      <c r="AJ130" s="2">
        <f>ROUND(SUMIF(AA123:AA128,"=224527337",W123:W128),0)</f>
        <v>0</v>
      </c>
      <c r="AK130" s="2">
        <f>ROUND(SUMIF(AA123:AA128,"=224527337",X123:X128),0)</f>
        <v>179</v>
      </c>
      <c r="AL130" s="2">
        <f>ROUND(SUMIF(AA123:AA128,"=224527337",Y123:Y128),0)</f>
        <v>87</v>
      </c>
      <c r="AM130" s="2"/>
      <c r="AN130" s="2"/>
      <c r="AO130" s="2">
        <f t="shared" ref="AO130:BD130" si="141">ROUND(BX130,0)</f>
        <v>0</v>
      </c>
      <c r="AP130" s="2">
        <f t="shared" si="141"/>
        <v>0</v>
      </c>
      <c r="AQ130" s="2">
        <f t="shared" si="141"/>
        <v>0</v>
      </c>
      <c r="AR130" s="2">
        <f t="shared" si="141"/>
        <v>774</v>
      </c>
      <c r="AS130" s="2">
        <f t="shared" si="141"/>
        <v>558</v>
      </c>
      <c r="AT130" s="2">
        <f t="shared" si="141"/>
        <v>216</v>
      </c>
      <c r="AU130" s="2">
        <f t="shared" si="141"/>
        <v>0</v>
      </c>
      <c r="AV130" s="2">
        <f t="shared" si="141"/>
        <v>73</v>
      </c>
      <c r="AW130" s="2">
        <f t="shared" si="141"/>
        <v>73</v>
      </c>
      <c r="AX130" s="2">
        <f t="shared" si="141"/>
        <v>0</v>
      </c>
      <c r="AY130" s="2">
        <f t="shared" si="141"/>
        <v>73</v>
      </c>
      <c r="AZ130" s="2">
        <f t="shared" si="141"/>
        <v>0</v>
      </c>
      <c r="BA130" s="2">
        <f t="shared" si="141"/>
        <v>0</v>
      </c>
      <c r="BB130" s="2">
        <f t="shared" si="141"/>
        <v>0</v>
      </c>
      <c r="BC130" s="2">
        <f t="shared" si="141"/>
        <v>0</v>
      </c>
      <c r="BD130" s="2">
        <f t="shared" si="141"/>
        <v>0</v>
      </c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>
        <f>ROUND(SUMIF(AA123:AA128,"=224527337",FQ123:FQ128),0)</f>
        <v>0</v>
      </c>
      <c r="BY130" s="2">
        <f>ROUND(SUMIF(AA123:AA128,"=224527337",FR123:FR128),0)</f>
        <v>0</v>
      </c>
      <c r="BZ130" s="2">
        <f>ROUND(SUMIF(AA123:AA128,"=224527337",GL123:GL128),0)</f>
        <v>0</v>
      </c>
      <c r="CA130" s="2">
        <f>ROUND(SUMIF(AA123:AA128,"=224527337",GM123:GM128),0)</f>
        <v>774</v>
      </c>
      <c r="CB130" s="2">
        <f>ROUND(SUMIF(AA123:AA128,"=224527337",GN123:GN128),0)</f>
        <v>558</v>
      </c>
      <c r="CC130" s="2">
        <f>ROUND(SUMIF(AA123:AA128,"=224527337",GO123:GO128),0)</f>
        <v>216</v>
      </c>
      <c r="CD130" s="2">
        <f>ROUND(SUMIF(AA123:AA128,"=224527337",GP123:GP128),0)</f>
        <v>0</v>
      </c>
      <c r="CE130" s="2">
        <f>AC130-BX130</f>
        <v>73</v>
      </c>
      <c r="CF130" s="2">
        <f>AC130-BY130</f>
        <v>73</v>
      </c>
      <c r="CG130" s="2">
        <f>BX130-BZ130</f>
        <v>0</v>
      </c>
      <c r="CH130" s="2">
        <f>AC130-BX130-BY130+BZ130</f>
        <v>73</v>
      </c>
      <c r="CI130" s="2">
        <f>BY130-BZ130</f>
        <v>0</v>
      </c>
      <c r="CJ130" s="2">
        <f>ROUND(SUMIF(AA123:AA128,"=224527337",GX123:GX128),0)</f>
        <v>0</v>
      </c>
      <c r="CK130" s="2">
        <f>ROUND(SUMIF(AA123:AA128,"=224527337",GY123:GY128),0)</f>
        <v>0</v>
      </c>
      <c r="CL130" s="2">
        <f>ROUND(SUMIF(AA123:AA128,"=224527337",GZ123:GZ128),0)</f>
        <v>0</v>
      </c>
      <c r="CM130" s="2">
        <f>ROUND(SUMIF(AA123:AA128,"=224527337",HD123:HD128),0)</f>
        <v>0</v>
      </c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>
        <v>0</v>
      </c>
    </row>
    <row r="132" spans="1:206" x14ac:dyDescent="0.2">
      <c r="A132" s="4">
        <v>50</v>
      </c>
      <c r="B132" s="4">
        <v>0</v>
      </c>
      <c r="C132" s="4">
        <v>0</v>
      </c>
      <c r="D132" s="4">
        <v>1</v>
      </c>
      <c r="E132" s="4">
        <v>201</v>
      </c>
      <c r="F132" s="4">
        <f>ROUND(Source!O130,O132)</f>
        <v>508</v>
      </c>
      <c r="G132" s="4" t="s">
        <v>120</v>
      </c>
      <c r="H132" s="4" t="s">
        <v>121</v>
      </c>
      <c r="I132" s="4"/>
      <c r="J132" s="4"/>
      <c r="K132" s="4">
        <v>201</v>
      </c>
      <c r="L132" s="4">
        <v>1</v>
      </c>
      <c r="M132" s="4">
        <v>3</v>
      </c>
      <c r="N132" s="4" t="s">
        <v>2</v>
      </c>
      <c r="O132" s="4">
        <v>0</v>
      </c>
      <c r="P132" s="4"/>
      <c r="Q132" s="4"/>
      <c r="R132" s="4"/>
      <c r="S132" s="4"/>
      <c r="T132" s="4"/>
      <c r="U132" s="4"/>
      <c r="V132" s="4"/>
      <c r="W132" s="4"/>
    </row>
    <row r="133" spans="1:206" x14ac:dyDescent="0.2">
      <c r="A133" s="4">
        <v>50</v>
      </c>
      <c r="B133" s="4">
        <v>0</v>
      </c>
      <c r="C133" s="4">
        <v>0</v>
      </c>
      <c r="D133" s="4">
        <v>1</v>
      </c>
      <c r="E133" s="4">
        <v>202</v>
      </c>
      <c r="F133" s="4">
        <f>ROUND(Source!P130,O133)</f>
        <v>73</v>
      </c>
      <c r="G133" s="4" t="s">
        <v>122</v>
      </c>
      <c r="H133" s="4" t="s">
        <v>123</v>
      </c>
      <c r="I133" s="4"/>
      <c r="J133" s="4"/>
      <c r="K133" s="4">
        <v>202</v>
      </c>
      <c r="L133" s="4">
        <v>2</v>
      </c>
      <c r="M133" s="4">
        <v>3</v>
      </c>
      <c r="N133" s="4" t="s">
        <v>2</v>
      </c>
      <c r="O133" s="4">
        <v>0</v>
      </c>
      <c r="P133" s="4"/>
      <c r="Q133" s="4"/>
      <c r="R133" s="4"/>
      <c r="S133" s="4"/>
      <c r="T133" s="4"/>
      <c r="U133" s="4"/>
      <c r="V133" s="4"/>
      <c r="W133" s="4"/>
    </row>
    <row r="134" spans="1:206" x14ac:dyDescent="0.2">
      <c r="A134" s="4">
        <v>50</v>
      </c>
      <c r="B134" s="4">
        <v>0</v>
      </c>
      <c r="C134" s="4">
        <v>0</v>
      </c>
      <c r="D134" s="4">
        <v>1</v>
      </c>
      <c r="E134" s="4">
        <v>222</v>
      </c>
      <c r="F134" s="4">
        <f>ROUND(Source!AO130,O134)</f>
        <v>0</v>
      </c>
      <c r="G134" s="4" t="s">
        <v>124</v>
      </c>
      <c r="H134" s="4" t="s">
        <v>125</v>
      </c>
      <c r="I134" s="4"/>
      <c r="J134" s="4"/>
      <c r="K134" s="4">
        <v>222</v>
      </c>
      <c r="L134" s="4">
        <v>3</v>
      </c>
      <c r="M134" s="4">
        <v>3</v>
      </c>
      <c r="N134" s="4" t="s">
        <v>2</v>
      </c>
      <c r="O134" s="4">
        <v>0</v>
      </c>
      <c r="P134" s="4"/>
      <c r="Q134" s="4"/>
      <c r="R134" s="4"/>
      <c r="S134" s="4"/>
      <c r="T134" s="4"/>
      <c r="U134" s="4"/>
      <c r="V134" s="4"/>
      <c r="W134" s="4"/>
    </row>
    <row r="135" spans="1:206" x14ac:dyDescent="0.2">
      <c r="A135" s="4">
        <v>50</v>
      </c>
      <c r="B135" s="4">
        <v>0</v>
      </c>
      <c r="C135" s="4">
        <v>0</v>
      </c>
      <c r="D135" s="4">
        <v>1</v>
      </c>
      <c r="E135" s="4">
        <v>225</v>
      </c>
      <c r="F135" s="4">
        <f>ROUND(Source!AV130,O135)</f>
        <v>73</v>
      </c>
      <c r="G135" s="4" t="s">
        <v>126</v>
      </c>
      <c r="H135" s="4" t="s">
        <v>127</v>
      </c>
      <c r="I135" s="4"/>
      <c r="J135" s="4"/>
      <c r="K135" s="4">
        <v>225</v>
      </c>
      <c r="L135" s="4">
        <v>4</v>
      </c>
      <c r="M135" s="4">
        <v>3</v>
      </c>
      <c r="N135" s="4" t="s">
        <v>2</v>
      </c>
      <c r="O135" s="4">
        <v>0</v>
      </c>
      <c r="P135" s="4"/>
      <c r="Q135" s="4"/>
      <c r="R135" s="4"/>
      <c r="S135" s="4"/>
      <c r="T135" s="4"/>
      <c r="U135" s="4"/>
      <c r="V135" s="4"/>
      <c r="W135" s="4"/>
    </row>
    <row r="136" spans="1:206" x14ac:dyDescent="0.2">
      <c r="A136" s="4">
        <v>50</v>
      </c>
      <c r="B136" s="4">
        <v>0</v>
      </c>
      <c r="C136" s="4">
        <v>0</v>
      </c>
      <c r="D136" s="4">
        <v>1</v>
      </c>
      <c r="E136" s="4">
        <v>226</v>
      </c>
      <c r="F136" s="4">
        <f>ROUND(Source!AW130,O136)</f>
        <v>73</v>
      </c>
      <c r="G136" s="4" t="s">
        <v>128</v>
      </c>
      <c r="H136" s="4" t="s">
        <v>129</v>
      </c>
      <c r="I136" s="4"/>
      <c r="J136" s="4"/>
      <c r="K136" s="4">
        <v>226</v>
      </c>
      <c r="L136" s="4">
        <v>5</v>
      </c>
      <c r="M136" s="4">
        <v>3</v>
      </c>
      <c r="N136" s="4" t="s">
        <v>2</v>
      </c>
      <c r="O136" s="4">
        <v>0</v>
      </c>
      <c r="P136" s="4"/>
      <c r="Q136" s="4"/>
      <c r="R136" s="4"/>
      <c r="S136" s="4"/>
      <c r="T136" s="4"/>
      <c r="U136" s="4"/>
      <c r="V136" s="4"/>
      <c r="W136" s="4"/>
    </row>
    <row r="137" spans="1:206" x14ac:dyDescent="0.2">
      <c r="A137" s="4">
        <v>50</v>
      </c>
      <c r="B137" s="4">
        <v>0</v>
      </c>
      <c r="C137" s="4">
        <v>0</v>
      </c>
      <c r="D137" s="4">
        <v>1</v>
      </c>
      <c r="E137" s="4">
        <v>227</v>
      </c>
      <c r="F137" s="4">
        <f>ROUND(Source!AX130,O137)</f>
        <v>0</v>
      </c>
      <c r="G137" s="4" t="s">
        <v>130</v>
      </c>
      <c r="H137" s="4" t="s">
        <v>131</v>
      </c>
      <c r="I137" s="4"/>
      <c r="J137" s="4"/>
      <c r="K137" s="4">
        <v>227</v>
      </c>
      <c r="L137" s="4">
        <v>6</v>
      </c>
      <c r="M137" s="4">
        <v>3</v>
      </c>
      <c r="N137" s="4" t="s">
        <v>2</v>
      </c>
      <c r="O137" s="4">
        <v>0</v>
      </c>
      <c r="P137" s="4"/>
      <c r="Q137" s="4"/>
      <c r="R137" s="4"/>
      <c r="S137" s="4"/>
      <c r="T137" s="4"/>
      <c r="U137" s="4"/>
      <c r="V137" s="4"/>
      <c r="W137" s="4"/>
    </row>
    <row r="138" spans="1:206" x14ac:dyDescent="0.2">
      <c r="A138" s="4">
        <v>50</v>
      </c>
      <c r="B138" s="4">
        <v>0</v>
      </c>
      <c r="C138" s="4">
        <v>0</v>
      </c>
      <c r="D138" s="4">
        <v>1</v>
      </c>
      <c r="E138" s="4">
        <v>228</v>
      </c>
      <c r="F138" s="4">
        <f>ROUND(Source!AY130,O138)</f>
        <v>73</v>
      </c>
      <c r="G138" s="4" t="s">
        <v>132</v>
      </c>
      <c r="H138" s="4" t="s">
        <v>133</v>
      </c>
      <c r="I138" s="4"/>
      <c r="J138" s="4"/>
      <c r="K138" s="4">
        <v>228</v>
      </c>
      <c r="L138" s="4">
        <v>7</v>
      </c>
      <c r="M138" s="4">
        <v>3</v>
      </c>
      <c r="N138" s="4" t="s">
        <v>2</v>
      </c>
      <c r="O138" s="4">
        <v>0</v>
      </c>
      <c r="P138" s="4"/>
      <c r="Q138" s="4"/>
      <c r="R138" s="4"/>
      <c r="S138" s="4"/>
      <c r="T138" s="4"/>
      <c r="U138" s="4"/>
      <c r="V138" s="4"/>
      <c r="W138" s="4"/>
    </row>
    <row r="139" spans="1:206" x14ac:dyDescent="0.2">
      <c r="A139" s="4">
        <v>50</v>
      </c>
      <c r="B139" s="4">
        <v>0</v>
      </c>
      <c r="C139" s="4">
        <v>0</v>
      </c>
      <c r="D139" s="4">
        <v>1</v>
      </c>
      <c r="E139" s="4">
        <v>216</v>
      </c>
      <c r="F139" s="4">
        <f>ROUND(Source!AP130,O139)</f>
        <v>0</v>
      </c>
      <c r="G139" s="4" t="s">
        <v>134</v>
      </c>
      <c r="H139" s="4" t="s">
        <v>135</v>
      </c>
      <c r="I139" s="4"/>
      <c r="J139" s="4"/>
      <c r="K139" s="4">
        <v>216</v>
      </c>
      <c r="L139" s="4">
        <v>8</v>
      </c>
      <c r="M139" s="4">
        <v>3</v>
      </c>
      <c r="N139" s="4" t="s">
        <v>2</v>
      </c>
      <c r="O139" s="4">
        <v>0</v>
      </c>
      <c r="P139" s="4"/>
      <c r="Q139" s="4"/>
      <c r="R139" s="4"/>
      <c r="S139" s="4"/>
      <c r="T139" s="4"/>
      <c r="U139" s="4"/>
      <c r="V139" s="4"/>
      <c r="W139" s="4"/>
    </row>
    <row r="140" spans="1:206" x14ac:dyDescent="0.2">
      <c r="A140" s="4">
        <v>50</v>
      </c>
      <c r="B140" s="4">
        <v>0</v>
      </c>
      <c r="C140" s="4">
        <v>0</v>
      </c>
      <c r="D140" s="4">
        <v>1</v>
      </c>
      <c r="E140" s="4">
        <v>223</v>
      </c>
      <c r="F140" s="4">
        <f>ROUND(Source!AQ130,O140)</f>
        <v>0</v>
      </c>
      <c r="G140" s="4" t="s">
        <v>136</v>
      </c>
      <c r="H140" s="4" t="s">
        <v>137</v>
      </c>
      <c r="I140" s="4"/>
      <c r="J140" s="4"/>
      <c r="K140" s="4">
        <v>223</v>
      </c>
      <c r="L140" s="4">
        <v>9</v>
      </c>
      <c r="M140" s="4">
        <v>3</v>
      </c>
      <c r="N140" s="4" t="s">
        <v>2</v>
      </c>
      <c r="O140" s="4">
        <v>0</v>
      </c>
      <c r="P140" s="4"/>
      <c r="Q140" s="4"/>
      <c r="R140" s="4"/>
      <c r="S140" s="4"/>
      <c r="T140" s="4"/>
      <c r="U140" s="4"/>
      <c r="V140" s="4"/>
      <c r="W140" s="4"/>
    </row>
    <row r="141" spans="1:206" x14ac:dyDescent="0.2">
      <c r="A141" s="4">
        <v>50</v>
      </c>
      <c r="B141" s="4">
        <v>0</v>
      </c>
      <c r="C141" s="4">
        <v>0</v>
      </c>
      <c r="D141" s="4">
        <v>1</v>
      </c>
      <c r="E141" s="4">
        <v>229</v>
      </c>
      <c r="F141" s="4">
        <f>ROUND(Source!AZ130,O141)</f>
        <v>0</v>
      </c>
      <c r="G141" s="4" t="s">
        <v>138</v>
      </c>
      <c r="H141" s="4" t="s">
        <v>139</v>
      </c>
      <c r="I141" s="4"/>
      <c r="J141" s="4"/>
      <c r="K141" s="4">
        <v>229</v>
      </c>
      <c r="L141" s="4">
        <v>10</v>
      </c>
      <c r="M141" s="4">
        <v>3</v>
      </c>
      <c r="N141" s="4" t="s">
        <v>2</v>
      </c>
      <c r="O141" s="4">
        <v>0</v>
      </c>
      <c r="P141" s="4"/>
      <c r="Q141" s="4"/>
      <c r="R141" s="4"/>
      <c r="S141" s="4"/>
      <c r="T141" s="4"/>
      <c r="U141" s="4"/>
      <c r="V141" s="4"/>
      <c r="W141" s="4"/>
    </row>
    <row r="142" spans="1:206" x14ac:dyDescent="0.2">
      <c r="A142" s="4">
        <v>50</v>
      </c>
      <c r="B142" s="4">
        <v>0</v>
      </c>
      <c r="C142" s="4">
        <v>0</v>
      </c>
      <c r="D142" s="4">
        <v>1</v>
      </c>
      <c r="E142" s="4">
        <v>203</v>
      </c>
      <c r="F142" s="4">
        <f>ROUND(Source!Q130,O142)</f>
        <v>249</v>
      </c>
      <c r="G142" s="4" t="s">
        <v>140</v>
      </c>
      <c r="H142" s="4" t="s">
        <v>141</v>
      </c>
      <c r="I142" s="4"/>
      <c r="J142" s="4"/>
      <c r="K142" s="4">
        <v>203</v>
      </c>
      <c r="L142" s="4">
        <v>11</v>
      </c>
      <c r="M142" s="4">
        <v>3</v>
      </c>
      <c r="N142" s="4" t="s">
        <v>2</v>
      </c>
      <c r="O142" s="4">
        <v>0</v>
      </c>
      <c r="P142" s="4"/>
      <c r="Q142" s="4"/>
      <c r="R142" s="4"/>
      <c r="S142" s="4"/>
      <c r="T142" s="4"/>
      <c r="U142" s="4"/>
      <c r="V142" s="4"/>
      <c r="W142" s="4"/>
    </row>
    <row r="143" spans="1:206" x14ac:dyDescent="0.2">
      <c r="A143" s="4">
        <v>50</v>
      </c>
      <c r="B143" s="4">
        <v>0</v>
      </c>
      <c r="C143" s="4">
        <v>0</v>
      </c>
      <c r="D143" s="4">
        <v>1</v>
      </c>
      <c r="E143" s="4">
        <v>231</v>
      </c>
      <c r="F143" s="4">
        <f>ROUND(Source!BB130,O143)</f>
        <v>0</v>
      </c>
      <c r="G143" s="4" t="s">
        <v>142</v>
      </c>
      <c r="H143" s="4" t="s">
        <v>143</v>
      </c>
      <c r="I143" s="4"/>
      <c r="J143" s="4"/>
      <c r="K143" s="4">
        <v>231</v>
      </c>
      <c r="L143" s="4">
        <v>12</v>
      </c>
      <c r="M143" s="4">
        <v>3</v>
      </c>
      <c r="N143" s="4" t="s">
        <v>2</v>
      </c>
      <c r="O143" s="4">
        <v>0</v>
      </c>
      <c r="P143" s="4"/>
      <c r="Q143" s="4"/>
      <c r="R143" s="4"/>
      <c r="S143" s="4"/>
      <c r="T143" s="4"/>
      <c r="U143" s="4"/>
      <c r="V143" s="4"/>
      <c r="W143" s="4"/>
    </row>
    <row r="144" spans="1:206" x14ac:dyDescent="0.2">
      <c r="A144" s="4">
        <v>50</v>
      </c>
      <c r="B144" s="4">
        <v>0</v>
      </c>
      <c r="C144" s="4">
        <v>0</v>
      </c>
      <c r="D144" s="4">
        <v>1</v>
      </c>
      <c r="E144" s="4">
        <v>204</v>
      </c>
      <c r="F144" s="4">
        <f>ROUND(Source!R130,O144)</f>
        <v>0</v>
      </c>
      <c r="G144" s="4" t="s">
        <v>144</v>
      </c>
      <c r="H144" s="4" t="s">
        <v>145</v>
      </c>
      <c r="I144" s="4"/>
      <c r="J144" s="4"/>
      <c r="K144" s="4">
        <v>204</v>
      </c>
      <c r="L144" s="4">
        <v>13</v>
      </c>
      <c r="M144" s="4">
        <v>3</v>
      </c>
      <c r="N144" s="4" t="s">
        <v>2</v>
      </c>
      <c r="O144" s="4">
        <v>0</v>
      </c>
      <c r="P144" s="4"/>
      <c r="Q144" s="4"/>
      <c r="R144" s="4"/>
      <c r="S144" s="4"/>
      <c r="T144" s="4"/>
      <c r="U144" s="4"/>
      <c r="V144" s="4"/>
      <c r="W144" s="4"/>
    </row>
    <row r="145" spans="1:88" x14ac:dyDescent="0.2">
      <c r="A145" s="4">
        <v>50</v>
      </c>
      <c r="B145" s="4">
        <v>0</v>
      </c>
      <c r="C145" s="4">
        <v>0</v>
      </c>
      <c r="D145" s="4">
        <v>1</v>
      </c>
      <c r="E145" s="4">
        <v>205</v>
      </c>
      <c r="F145" s="4">
        <f>ROUND(Source!S130,O145)</f>
        <v>186</v>
      </c>
      <c r="G145" s="4" t="s">
        <v>146</v>
      </c>
      <c r="H145" s="4" t="s">
        <v>147</v>
      </c>
      <c r="I145" s="4"/>
      <c r="J145" s="4"/>
      <c r="K145" s="4">
        <v>205</v>
      </c>
      <c r="L145" s="4">
        <v>14</v>
      </c>
      <c r="M145" s="4">
        <v>3</v>
      </c>
      <c r="N145" s="4" t="s">
        <v>2</v>
      </c>
      <c r="O145" s="4">
        <v>0</v>
      </c>
      <c r="P145" s="4"/>
      <c r="Q145" s="4"/>
      <c r="R145" s="4"/>
      <c r="S145" s="4"/>
      <c r="T145" s="4"/>
      <c r="U145" s="4"/>
      <c r="V145" s="4"/>
      <c r="W145" s="4"/>
    </row>
    <row r="146" spans="1:88" x14ac:dyDescent="0.2">
      <c r="A146" s="4">
        <v>50</v>
      </c>
      <c r="B146" s="4">
        <v>0</v>
      </c>
      <c r="C146" s="4">
        <v>0</v>
      </c>
      <c r="D146" s="4">
        <v>1</v>
      </c>
      <c r="E146" s="4">
        <v>232</v>
      </c>
      <c r="F146" s="4">
        <f>ROUND(Source!BC130,O146)</f>
        <v>0</v>
      </c>
      <c r="G146" s="4" t="s">
        <v>148</v>
      </c>
      <c r="H146" s="4" t="s">
        <v>149</v>
      </c>
      <c r="I146" s="4"/>
      <c r="J146" s="4"/>
      <c r="K146" s="4">
        <v>232</v>
      </c>
      <c r="L146" s="4">
        <v>15</v>
      </c>
      <c r="M146" s="4">
        <v>3</v>
      </c>
      <c r="N146" s="4" t="s">
        <v>2</v>
      </c>
      <c r="O146" s="4">
        <v>0</v>
      </c>
      <c r="P146" s="4"/>
      <c r="Q146" s="4"/>
      <c r="R146" s="4"/>
      <c r="S146" s="4"/>
      <c r="T146" s="4"/>
      <c r="U146" s="4"/>
      <c r="V146" s="4"/>
      <c r="W146" s="4"/>
    </row>
    <row r="147" spans="1:88" x14ac:dyDescent="0.2">
      <c r="A147" s="4">
        <v>50</v>
      </c>
      <c r="B147" s="4">
        <v>0</v>
      </c>
      <c r="C147" s="4">
        <v>0</v>
      </c>
      <c r="D147" s="4">
        <v>1</v>
      </c>
      <c r="E147" s="4">
        <v>214</v>
      </c>
      <c r="F147" s="4">
        <f>ROUND(Source!AS130,O147)</f>
        <v>558</v>
      </c>
      <c r="G147" s="4" t="s">
        <v>150</v>
      </c>
      <c r="H147" s="4" t="s">
        <v>151</v>
      </c>
      <c r="I147" s="4"/>
      <c r="J147" s="4"/>
      <c r="K147" s="4">
        <v>214</v>
      </c>
      <c r="L147" s="4">
        <v>16</v>
      </c>
      <c r="M147" s="4">
        <v>3</v>
      </c>
      <c r="N147" s="4" t="s">
        <v>2</v>
      </c>
      <c r="O147" s="4">
        <v>0</v>
      </c>
      <c r="P147" s="4"/>
      <c r="Q147" s="4"/>
      <c r="R147" s="4"/>
      <c r="S147" s="4"/>
      <c r="T147" s="4"/>
      <c r="U147" s="4"/>
      <c r="V147" s="4"/>
      <c r="W147" s="4"/>
    </row>
    <row r="148" spans="1:88" x14ac:dyDescent="0.2">
      <c r="A148" s="4">
        <v>50</v>
      </c>
      <c r="B148" s="4">
        <v>0</v>
      </c>
      <c r="C148" s="4">
        <v>0</v>
      </c>
      <c r="D148" s="4">
        <v>1</v>
      </c>
      <c r="E148" s="4">
        <v>215</v>
      </c>
      <c r="F148" s="4">
        <f>ROUND(Source!AT130,O148)</f>
        <v>216</v>
      </c>
      <c r="G148" s="4" t="s">
        <v>152</v>
      </c>
      <c r="H148" s="4" t="s">
        <v>153</v>
      </c>
      <c r="I148" s="4"/>
      <c r="J148" s="4"/>
      <c r="K148" s="4">
        <v>215</v>
      </c>
      <c r="L148" s="4">
        <v>17</v>
      </c>
      <c r="M148" s="4">
        <v>3</v>
      </c>
      <c r="N148" s="4" t="s">
        <v>2</v>
      </c>
      <c r="O148" s="4">
        <v>0</v>
      </c>
      <c r="P148" s="4"/>
      <c r="Q148" s="4"/>
      <c r="R148" s="4"/>
      <c r="S148" s="4"/>
      <c r="T148" s="4"/>
      <c r="U148" s="4"/>
      <c r="V148" s="4"/>
      <c r="W148" s="4"/>
    </row>
    <row r="149" spans="1:88" x14ac:dyDescent="0.2">
      <c r="A149" s="4">
        <v>50</v>
      </c>
      <c r="B149" s="4">
        <v>0</v>
      </c>
      <c r="C149" s="4">
        <v>0</v>
      </c>
      <c r="D149" s="4">
        <v>1</v>
      </c>
      <c r="E149" s="4">
        <v>217</v>
      </c>
      <c r="F149" s="4">
        <f>ROUND(Source!AU130,O149)</f>
        <v>0</v>
      </c>
      <c r="G149" s="4" t="s">
        <v>154</v>
      </c>
      <c r="H149" s="4" t="s">
        <v>155</v>
      </c>
      <c r="I149" s="4"/>
      <c r="J149" s="4"/>
      <c r="K149" s="4">
        <v>217</v>
      </c>
      <c r="L149" s="4">
        <v>18</v>
      </c>
      <c r="M149" s="4">
        <v>3</v>
      </c>
      <c r="N149" s="4" t="s">
        <v>2</v>
      </c>
      <c r="O149" s="4">
        <v>0</v>
      </c>
      <c r="P149" s="4"/>
      <c r="Q149" s="4"/>
      <c r="R149" s="4"/>
      <c r="S149" s="4"/>
      <c r="T149" s="4"/>
      <c r="U149" s="4"/>
      <c r="V149" s="4"/>
      <c r="W149" s="4"/>
    </row>
    <row r="150" spans="1:88" x14ac:dyDescent="0.2">
      <c r="A150" s="4">
        <v>50</v>
      </c>
      <c r="B150" s="4">
        <v>0</v>
      </c>
      <c r="C150" s="4">
        <v>0</v>
      </c>
      <c r="D150" s="4">
        <v>1</v>
      </c>
      <c r="E150" s="4">
        <v>230</v>
      </c>
      <c r="F150" s="4">
        <f>ROUND(Source!BA130,O150)</f>
        <v>0</v>
      </c>
      <c r="G150" s="4" t="s">
        <v>156</v>
      </c>
      <c r="H150" s="4" t="s">
        <v>157</v>
      </c>
      <c r="I150" s="4"/>
      <c r="J150" s="4"/>
      <c r="K150" s="4">
        <v>230</v>
      </c>
      <c r="L150" s="4">
        <v>19</v>
      </c>
      <c r="M150" s="4">
        <v>3</v>
      </c>
      <c r="N150" s="4" t="s">
        <v>2</v>
      </c>
      <c r="O150" s="4">
        <v>0</v>
      </c>
      <c r="P150" s="4"/>
      <c r="Q150" s="4"/>
      <c r="R150" s="4"/>
      <c r="S150" s="4"/>
      <c r="T150" s="4"/>
      <c r="U150" s="4"/>
      <c r="V150" s="4"/>
      <c r="W150" s="4"/>
    </row>
    <row r="151" spans="1:88" x14ac:dyDescent="0.2">
      <c r="A151" s="4">
        <v>50</v>
      </c>
      <c r="B151" s="4">
        <v>0</v>
      </c>
      <c r="C151" s="4">
        <v>0</v>
      </c>
      <c r="D151" s="4">
        <v>1</v>
      </c>
      <c r="E151" s="4">
        <v>206</v>
      </c>
      <c r="F151" s="4">
        <f>ROUND(Source!T130,O151)</f>
        <v>0</v>
      </c>
      <c r="G151" s="4" t="s">
        <v>158</v>
      </c>
      <c r="H151" s="4" t="s">
        <v>159</v>
      </c>
      <c r="I151" s="4"/>
      <c r="J151" s="4"/>
      <c r="K151" s="4">
        <v>206</v>
      </c>
      <c r="L151" s="4">
        <v>20</v>
      </c>
      <c r="M151" s="4">
        <v>3</v>
      </c>
      <c r="N151" s="4" t="s">
        <v>2</v>
      </c>
      <c r="O151" s="4">
        <v>0</v>
      </c>
      <c r="P151" s="4"/>
      <c r="Q151" s="4"/>
      <c r="R151" s="4"/>
      <c r="S151" s="4"/>
      <c r="T151" s="4"/>
      <c r="U151" s="4"/>
      <c r="V151" s="4"/>
      <c r="W151" s="4"/>
    </row>
    <row r="152" spans="1:88" x14ac:dyDescent="0.2">
      <c r="A152" s="4">
        <v>50</v>
      </c>
      <c r="B152" s="4">
        <v>0</v>
      </c>
      <c r="C152" s="4">
        <v>0</v>
      </c>
      <c r="D152" s="4">
        <v>1</v>
      </c>
      <c r="E152" s="4">
        <v>207</v>
      </c>
      <c r="F152" s="4">
        <f>Source!U130</f>
        <v>20.963339499999996</v>
      </c>
      <c r="G152" s="4" t="s">
        <v>160</v>
      </c>
      <c r="H152" s="4" t="s">
        <v>161</v>
      </c>
      <c r="I152" s="4"/>
      <c r="J152" s="4"/>
      <c r="K152" s="4">
        <v>207</v>
      </c>
      <c r="L152" s="4">
        <v>21</v>
      </c>
      <c r="M152" s="4">
        <v>3</v>
      </c>
      <c r="N152" s="4" t="s">
        <v>2</v>
      </c>
      <c r="O152" s="4">
        <v>-1</v>
      </c>
      <c r="P152" s="4"/>
      <c r="Q152" s="4"/>
      <c r="R152" s="4"/>
      <c r="S152" s="4"/>
      <c r="T152" s="4"/>
      <c r="U152" s="4"/>
      <c r="V152" s="4"/>
      <c r="W152" s="4"/>
    </row>
    <row r="153" spans="1:88" x14ac:dyDescent="0.2">
      <c r="A153" s="4">
        <v>50</v>
      </c>
      <c r="B153" s="4">
        <v>0</v>
      </c>
      <c r="C153" s="4">
        <v>0</v>
      </c>
      <c r="D153" s="4">
        <v>1</v>
      </c>
      <c r="E153" s="4">
        <v>208</v>
      </c>
      <c r="F153" s="4">
        <f>Source!V130</f>
        <v>8.9700000000000023E-3</v>
      </c>
      <c r="G153" s="4" t="s">
        <v>162</v>
      </c>
      <c r="H153" s="4" t="s">
        <v>163</v>
      </c>
      <c r="I153" s="4"/>
      <c r="J153" s="4"/>
      <c r="K153" s="4">
        <v>208</v>
      </c>
      <c r="L153" s="4">
        <v>22</v>
      </c>
      <c r="M153" s="4">
        <v>3</v>
      </c>
      <c r="N153" s="4" t="s">
        <v>2</v>
      </c>
      <c r="O153" s="4">
        <v>-1</v>
      </c>
      <c r="P153" s="4"/>
      <c r="Q153" s="4"/>
      <c r="R153" s="4"/>
      <c r="S153" s="4"/>
      <c r="T153" s="4"/>
      <c r="U153" s="4"/>
      <c r="V153" s="4"/>
      <c r="W153" s="4"/>
    </row>
    <row r="154" spans="1:88" x14ac:dyDescent="0.2">
      <c r="A154" s="4">
        <v>50</v>
      </c>
      <c r="B154" s="4">
        <v>0</v>
      </c>
      <c r="C154" s="4">
        <v>0</v>
      </c>
      <c r="D154" s="4">
        <v>1</v>
      </c>
      <c r="E154" s="4">
        <v>209</v>
      </c>
      <c r="F154" s="4">
        <f>ROUND(Source!W130,O154)</f>
        <v>0</v>
      </c>
      <c r="G154" s="4" t="s">
        <v>164</v>
      </c>
      <c r="H154" s="4" t="s">
        <v>165</v>
      </c>
      <c r="I154" s="4"/>
      <c r="J154" s="4"/>
      <c r="K154" s="4">
        <v>209</v>
      </c>
      <c r="L154" s="4">
        <v>23</v>
      </c>
      <c r="M154" s="4">
        <v>3</v>
      </c>
      <c r="N154" s="4" t="s">
        <v>2</v>
      </c>
      <c r="O154" s="4">
        <v>0</v>
      </c>
      <c r="P154" s="4"/>
      <c r="Q154" s="4"/>
      <c r="R154" s="4"/>
      <c r="S154" s="4"/>
      <c r="T154" s="4"/>
      <c r="U154" s="4"/>
      <c r="V154" s="4"/>
      <c r="W154" s="4"/>
    </row>
    <row r="155" spans="1:88" x14ac:dyDescent="0.2">
      <c r="A155" s="4">
        <v>50</v>
      </c>
      <c r="B155" s="4">
        <v>0</v>
      </c>
      <c r="C155" s="4">
        <v>0</v>
      </c>
      <c r="D155" s="4">
        <v>1</v>
      </c>
      <c r="E155" s="4">
        <v>233</v>
      </c>
      <c r="F155" s="4">
        <f>ROUND(Source!BD130,O155)</f>
        <v>0</v>
      </c>
      <c r="G155" s="4" t="s">
        <v>166</v>
      </c>
      <c r="H155" s="4" t="s">
        <v>167</v>
      </c>
      <c r="I155" s="4"/>
      <c r="J155" s="4"/>
      <c r="K155" s="4">
        <v>233</v>
      </c>
      <c r="L155" s="4">
        <v>24</v>
      </c>
      <c r="M155" s="4">
        <v>3</v>
      </c>
      <c r="N155" s="4" t="s">
        <v>2</v>
      </c>
      <c r="O155" s="4">
        <v>0</v>
      </c>
      <c r="P155" s="4"/>
      <c r="Q155" s="4"/>
      <c r="R155" s="4"/>
      <c r="S155" s="4"/>
      <c r="T155" s="4"/>
      <c r="U155" s="4"/>
      <c r="V155" s="4"/>
      <c r="W155" s="4"/>
    </row>
    <row r="156" spans="1:88" x14ac:dyDescent="0.2">
      <c r="A156" s="4">
        <v>50</v>
      </c>
      <c r="B156" s="4">
        <v>0</v>
      </c>
      <c r="C156" s="4">
        <v>0</v>
      </c>
      <c r="D156" s="4">
        <v>1</v>
      </c>
      <c r="E156" s="4">
        <v>210</v>
      </c>
      <c r="F156" s="4">
        <f>ROUND(Source!X130,O156)</f>
        <v>179</v>
      </c>
      <c r="G156" s="4" t="s">
        <v>168</v>
      </c>
      <c r="H156" s="4" t="s">
        <v>169</v>
      </c>
      <c r="I156" s="4"/>
      <c r="J156" s="4"/>
      <c r="K156" s="4">
        <v>210</v>
      </c>
      <c r="L156" s="4">
        <v>25</v>
      </c>
      <c r="M156" s="4">
        <v>3</v>
      </c>
      <c r="N156" s="4" t="s">
        <v>2</v>
      </c>
      <c r="O156" s="4">
        <v>0</v>
      </c>
      <c r="P156" s="4"/>
      <c r="Q156" s="4"/>
      <c r="R156" s="4"/>
      <c r="S156" s="4"/>
      <c r="T156" s="4"/>
      <c r="U156" s="4"/>
      <c r="V156" s="4"/>
      <c r="W156" s="4"/>
    </row>
    <row r="157" spans="1:88" x14ac:dyDescent="0.2">
      <c r="A157" s="4">
        <v>50</v>
      </c>
      <c r="B157" s="4">
        <v>0</v>
      </c>
      <c r="C157" s="4">
        <v>0</v>
      </c>
      <c r="D157" s="4">
        <v>1</v>
      </c>
      <c r="E157" s="4">
        <v>211</v>
      </c>
      <c r="F157" s="4">
        <f>ROUND(Source!Y130,O157)</f>
        <v>87</v>
      </c>
      <c r="G157" s="4" t="s">
        <v>170</v>
      </c>
      <c r="H157" s="4" t="s">
        <v>171</v>
      </c>
      <c r="I157" s="4"/>
      <c r="J157" s="4"/>
      <c r="K157" s="4">
        <v>211</v>
      </c>
      <c r="L157" s="4">
        <v>26</v>
      </c>
      <c r="M157" s="4">
        <v>3</v>
      </c>
      <c r="N157" s="4" t="s">
        <v>2</v>
      </c>
      <c r="O157" s="4">
        <v>0</v>
      </c>
      <c r="P157" s="4"/>
      <c r="Q157" s="4"/>
      <c r="R157" s="4"/>
      <c r="S157" s="4"/>
      <c r="T157" s="4"/>
      <c r="U157" s="4"/>
      <c r="V157" s="4"/>
      <c r="W157" s="4"/>
    </row>
    <row r="158" spans="1:88" x14ac:dyDescent="0.2">
      <c r="A158" s="4">
        <v>50</v>
      </c>
      <c r="B158" s="4">
        <v>0</v>
      </c>
      <c r="C158" s="4">
        <v>0</v>
      </c>
      <c r="D158" s="4">
        <v>1</v>
      </c>
      <c r="E158" s="4">
        <v>224</v>
      </c>
      <c r="F158" s="4">
        <f>ROUND(Source!AR130,O158)</f>
        <v>774</v>
      </c>
      <c r="G158" s="4" t="s">
        <v>172</v>
      </c>
      <c r="H158" s="4" t="s">
        <v>173</v>
      </c>
      <c r="I158" s="4"/>
      <c r="J158" s="4"/>
      <c r="K158" s="4">
        <v>224</v>
      </c>
      <c r="L158" s="4">
        <v>27</v>
      </c>
      <c r="M158" s="4">
        <v>3</v>
      </c>
      <c r="N158" s="4" t="s">
        <v>2</v>
      </c>
      <c r="O158" s="4">
        <v>0</v>
      </c>
      <c r="P158" s="4"/>
      <c r="Q158" s="4"/>
      <c r="R158" s="4"/>
      <c r="S158" s="4"/>
      <c r="T158" s="4"/>
      <c r="U158" s="4"/>
      <c r="V158" s="4"/>
      <c r="W158" s="4"/>
    </row>
    <row r="160" spans="1:88" x14ac:dyDescent="0.2">
      <c r="A160" s="1">
        <v>4</v>
      </c>
      <c r="B160" s="1">
        <v>1</v>
      </c>
      <c r="C160" s="1"/>
      <c r="D160" s="1">
        <f>ROW(A170)</f>
        <v>170</v>
      </c>
      <c r="E160" s="1"/>
      <c r="F160" s="1" t="s">
        <v>13</v>
      </c>
      <c r="G160" s="1" t="s">
        <v>258</v>
      </c>
      <c r="H160" s="1" t="s">
        <v>2</v>
      </c>
      <c r="I160" s="1">
        <v>0</v>
      </c>
      <c r="J160" s="1"/>
      <c r="K160" s="1">
        <v>0</v>
      </c>
      <c r="L160" s="1"/>
      <c r="M160" s="1" t="s">
        <v>2</v>
      </c>
      <c r="N160" s="1"/>
      <c r="O160" s="1"/>
      <c r="P160" s="1"/>
      <c r="Q160" s="1"/>
      <c r="R160" s="1"/>
      <c r="S160" s="1">
        <v>0</v>
      </c>
      <c r="T160" s="1"/>
      <c r="U160" s="1" t="s">
        <v>2</v>
      </c>
      <c r="V160" s="1">
        <v>0</v>
      </c>
      <c r="W160" s="1"/>
      <c r="X160" s="1"/>
      <c r="Y160" s="1"/>
      <c r="Z160" s="1"/>
      <c r="AA160" s="1"/>
      <c r="AB160" s="1" t="s">
        <v>2</v>
      </c>
      <c r="AC160" s="1" t="s">
        <v>2</v>
      </c>
      <c r="AD160" s="1" t="s">
        <v>2</v>
      </c>
      <c r="AE160" s="1" t="s">
        <v>2</v>
      </c>
      <c r="AF160" s="1" t="s">
        <v>2</v>
      </c>
      <c r="AG160" s="1" t="s">
        <v>2</v>
      </c>
      <c r="AH160" s="1"/>
      <c r="AI160" s="1"/>
      <c r="AJ160" s="1"/>
      <c r="AK160" s="1"/>
      <c r="AL160" s="1"/>
      <c r="AM160" s="1"/>
      <c r="AN160" s="1"/>
      <c r="AO160" s="1"/>
      <c r="AP160" s="1" t="s">
        <v>2</v>
      </c>
      <c r="AQ160" s="1" t="s">
        <v>2</v>
      </c>
      <c r="AR160" s="1" t="s">
        <v>2</v>
      </c>
      <c r="AS160" s="1"/>
      <c r="AT160" s="1"/>
      <c r="AU160" s="1"/>
      <c r="AV160" s="1"/>
      <c r="AW160" s="1"/>
      <c r="AX160" s="1"/>
      <c r="AY160" s="1"/>
      <c r="AZ160" s="1" t="s">
        <v>2</v>
      </c>
      <c r="BA160" s="1"/>
      <c r="BB160" s="1" t="s">
        <v>2</v>
      </c>
      <c r="BC160" s="1" t="s">
        <v>2</v>
      </c>
      <c r="BD160" s="1" t="s">
        <v>2</v>
      </c>
      <c r="BE160" s="1" t="s">
        <v>2</v>
      </c>
      <c r="BF160" s="1" t="s">
        <v>2</v>
      </c>
      <c r="BG160" s="1" t="s">
        <v>2</v>
      </c>
      <c r="BH160" s="1" t="s">
        <v>2</v>
      </c>
      <c r="BI160" s="1" t="s">
        <v>2</v>
      </c>
      <c r="BJ160" s="1" t="s">
        <v>2</v>
      </c>
      <c r="BK160" s="1" t="s">
        <v>2</v>
      </c>
      <c r="BL160" s="1" t="s">
        <v>2</v>
      </c>
      <c r="BM160" s="1" t="s">
        <v>2</v>
      </c>
      <c r="BN160" s="1" t="s">
        <v>2</v>
      </c>
      <c r="BO160" s="1" t="s">
        <v>2</v>
      </c>
      <c r="BP160" s="1" t="s">
        <v>2</v>
      </c>
      <c r="BQ160" s="1"/>
      <c r="BR160" s="1"/>
      <c r="BS160" s="1"/>
      <c r="BT160" s="1"/>
      <c r="BU160" s="1"/>
      <c r="BV160" s="1"/>
      <c r="BW160" s="1"/>
      <c r="BX160" s="1">
        <v>0</v>
      </c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>
        <v>0</v>
      </c>
    </row>
    <row r="162" spans="1:245" x14ac:dyDescent="0.2">
      <c r="A162" s="2">
        <v>52</v>
      </c>
      <c r="B162" s="2">
        <f t="shared" ref="B162:G162" si="142">B170</f>
        <v>1</v>
      </c>
      <c r="C162" s="2">
        <f t="shared" si="142"/>
        <v>4</v>
      </c>
      <c r="D162" s="2">
        <f t="shared" si="142"/>
        <v>160</v>
      </c>
      <c r="E162" s="2">
        <f t="shared" si="142"/>
        <v>0</v>
      </c>
      <c r="F162" s="2" t="str">
        <f t="shared" si="142"/>
        <v>Новый раздел</v>
      </c>
      <c r="G162" s="2" t="str">
        <f t="shared" si="142"/>
        <v>Помещения уборочного инвентаря</v>
      </c>
      <c r="H162" s="2"/>
      <c r="I162" s="2"/>
      <c r="J162" s="2"/>
      <c r="K162" s="2"/>
      <c r="L162" s="2"/>
      <c r="M162" s="2"/>
      <c r="N162" s="2"/>
      <c r="O162" s="2">
        <f t="shared" ref="O162:AT162" si="143">O170</f>
        <v>397</v>
      </c>
      <c r="P162" s="2">
        <f t="shared" si="143"/>
        <v>268</v>
      </c>
      <c r="Q162" s="2">
        <f t="shared" si="143"/>
        <v>6</v>
      </c>
      <c r="R162" s="2">
        <f t="shared" si="143"/>
        <v>3</v>
      </c>
      <c r="S162" s="2">
        <f t="shared" si="143"/>
        <v>123</v>
      </c>
      <c r="T162" s="2">
        <f t="shared" si="143"/>
        <v>0</v>
      </c>
      <c r="U162" s="2">
        <f t="shared" si="143"/>
        <v>14.273079999999997</v>
      </c>
      <c r="V162" s="2">
        <f t="shared" si="143"/>
        <v>0.26648499999999997</v>
      </c>
      <c r="W162" s="2">
        <f t="shared" si="143"/>
        <v>0</v>
      </c>
      <c r="X162" s="2">
        <f t="shared" si="143"/>
        <v>117</v>
      </c>
      <c r="Y162" s="2">
        <f t="shared" si="143"/>
        <v>55</v>
      </c>
      <c r="Z162" s="2">
        <f t="shared" si="143"/>
        <v>0</v>
      </c>
      <c r="AA162" s="2">
        <f t="shared" si="143"/>
        <v>0</v>
      </c>
      <c r="AB162" s="2">
        <f t="shared" si="143"/>
        <v>397</v>
      </c>
      <c r="AC162" s="2">
        <f t="shared" si="143"/>
        <v>268</v>
      </c>
      <c r="AD162" s="2">
        <f t="shared" si="143"/>
        <v>6</v>
      </c>
      <c r="AE162" s="2">
        <f t="shared" si="143"/>
        <v>3</v>
      </c>
      <c r="AF162" s="2">
        <f t="shared" si="143"/>
        <v>123</v>
      </c>
      <c r="AG162" s="2">
        <f t="shared" si="143"/>
        <v>0</v>
      </c>
      <c r="AH162" s="2">
        <f t="shared" si="143"/>
        <v>14.273079999999997</v>
      </c>
      <c r="AI162" s="2">
        <f t="shared" si="143"/>
        <v>0.26648499999999997</v>
      </c>
      <c r="AJ162" s="2">
        <f t="shared" si="143"/>
        <v>0</v>
      </c>
      <c r="AK162" s="2">
        <f t="shared" si="143"/>
        <v>117</v>
      </c>
      <c r="AL162" s="2">
        <f t="shared" si="143"/>
        <v>55</v>
      </c>
      <c r="AM162" s="2">
        <f t="shared" si="143"/>
        <v>0</v>
      </c>
      <c r="AN162" s="2">
        <f t="shared" si="143"/>
        <v>0</v>
      </c>
      <c r="AO162" s="2">
        <f t="shared" si="143"/>
        <v>0</v>
      </c>
      <c r="AP162" s="2">
        <f t="shared" si="143"/>
        <v>0</v>
      </c>
      <c r="AQ162" s="2">
        <f t="shared" si="143"/>
        <v>0</v>
      </c>
      <c r="AR162" s="2">
        <f t="shared" si="143"/>
        <v>569</v>
      </c>
      <c r="AS162" s="2">
        <f t="shared" si="143"/>
        <v>569</v>
      </c>
      <c r="AT162" s="2">
        <f t="shared" si="143"/>
        <v>0</v>
      </c>
      <c r="AU162" s="2">
        <f t="shared" ref="AU162:BZ162" si="144">AU170</f>
        <v>0</v>
      </c>
      <c r="AV162" s="2">
        <f t="shared" si="144"/>
        <v>268</v>
      </c>
      <c r="AW162" s="2">
        <f t="shared" si="144"/>
        <v>268</v>
      </c>
      <c r="AX162" s="2">
        <f t="shared" si="144"/>
        <v>0</v>
      </c>
      <c r="AY162" s="2">
        <f t="shared" si="144"/>
        <v>268</v>
      </c>
      <c r="AZ162" s="2">
        <f t="shared" si="144"/>
        <v>0</v>
      </c>
      <c r="BA162" s="2">
        <f t="shared" si="144"/>
        <v>0</v>
      </c>
      <c r="BB162" s="2">
        <f t="shared" si="144"/>
        <v>0</v>
      </c>
      <c r="BC162" s="2">
        <f t="shared" si="144"/>
        <v>0</v>
      </c>
      <c r="BD162" s="2">
        <f t="shared" si="144"/>
        <v>0</v>
      </c>
      <c r="BE162" s="2">
        <f t="shared" si="144"/>
        <v>0</v>
      </c>
      <c r="BF162" s="2">
        <f t="shared" si="144"/>
        <v>0</v>
      </c>
      <c r="BG162" s="2">
        <f t="shared" si="144"/>
        <v>0</v>
      </c>
      <c r="BH162" s="2">
        <f t="shared" si="144"/>
        <v>0</v>
      </c>
      <c r="BI162" s="2">
        <f t="shared" si="144"/>
        <v>0</v>
      </c>
      <c r="BJ162" s="2">
        <f t="shared" si="144"/>
        <v>0</v>
      </c>
      <c r="BK162" s="2">
        <f t="shared" si="144"/>
        <v>0</v>
      </c>
      <c r="BL162" s="2">
        <f t="shared" si="144"/>
        <v>0</v>
      </c>
      <c r="BM162" s="2">
        <f t="shared" si="144"/>
        <v>0</v>
      </c>
      <c r="BN162" s="2">
        <f t="shared" si="144"/>
        <v>0</v>
      </c>
      <c r="BO162" s="2">
        <f t="shared" si="144"/>
        <v>0</v>
      </c>
      <c r="BP162" s="2">
        <f t="shared" si="144"/>
        <v>0</v>
      </c>
      <c r="BQ162" s="2">
        <f t="shared" si="144"/>
        <v>0</v>
      </c>
      <c r="BR162" s="2">
        <f t="shared" si="144"/>
        <v>0</v>
      </c>
      <c r="BS162" s="2">
        <f t="shared" si="144"/>
        <v>0</v>
      </c>
      <c r="BT162" s="2">
        <f t="shared" si="144"/>
        <v>0</v>
      </c>
      <c r="BU162" s="2">
        <f t="shared" si="144"/>
        <v>0</v>
      </c>
      <c r="BV162" s="2">
        <f t="shared" si="144"/>
        <v>0</v>
      </c>
      <c r="BW162" s="2">
        <f t="shared" si="144"/>
        <v>0</v>
      </c>
      <c r="BX162" s="2">
        <f t="shared" si="144"/>
        <v>0</v>
      </c>
      <c r="BY162" s="2">
        <f t="shared" si="144"/>
        <v>0</v>
      </c>
      <c r="BZ162" s="2">
        <f t="shared" si="144"/>
        <v>0</v>
      </c>
      <c r="CA162" s="2">
        <f t="shared" ref="CA162:DF162" si="145">CA170</f>
        <v>569</v>
      </c>
      <c r="CB162" s="2">
        <f t="shared" si="145"/>
        <v>569</v>
      </c>
      <c r="CC162" s="2">
        <f t="shared" si="145"/>
        <v>0</v>
      </c>
      <c r="CD162" s="2">
        <f t="shared" si="145"/>
        <v>0</v>
      </c>
      <c r="CE162" s="2">
        <f t="shared" si="145"/>
        <v>268</v>
      </c>
      <c r="CF162" s="2">
        <f t="shared" si="145"/>
        <v>268</v>
      </c>
      <c r="CG162" s="2">
        <f t="shared" si="145"/>
        <v>0</v>
      </c>
      <c r="CH162" s="2">
        <f t="shared" si="145"/>
        <v>268</v>
      </c>
      <c r="CI162" s="2">
        <f t="shared" si="145"/>
        <v>0</v>
      </c>
      <c r="CJ162" s="2">
        <f t="shared" si="145"/>
        <v>0</v>
      </c>
      <c r="CK162" s="2">
        <f t="shared" si="145"/>
        <v>0</v>
      </c>
      <c r="CL162" s="2">
        <f t="shared" si="145"/>
        <v>0</v>
      </c>
      <c r="CM162" s="2">
        <f t="shared" si="145"/>
        <v>0</v>
      </c>
      <c r="CN162" s="2">
        <f t="shared" si="145"/>
        <v>0</v>
      </c>
      <c r="CO162" s="2">
        <f t="shared" si="145"/>
        <v>0</v>
      </c>
      <c r="CP162" s="2">
        <f t="shared" si="145"/>
        <v>0</v>
      </c>
      <c r="CQ162" s="2">
        <f t="shared" si="145"/>
        <v>0</v>
      </c>
      <c r="CR162" s="2">
        <f t="shared" si="145"/>
        <v>0</v>
      </c>
      <c r="CS162" s="2">
        <f t="shared" si="145"/>
        <v>0</v>
      </c>
      <c r="CT162" s="2">
        <f t="shared" si="145"/>
        <v>0</v>
      </c>
      <c r="CU162" s="2">
        <f t="shared" si="145"/>
        <v>0</v>
      </c>
      <c r="CV162" s="2">
        <f t="shared" si="145"/>
        <v>0</v>
      </c>
      <c r="CW162" s="2">
        <f t="shared" si="145"/>
        <v>0</v>
      </c>
      <c r="CX162" s="2">
        <f t="shared" si="145"/>
        <v>0</v>
      </c>
      <c r="CY162" s="2">
        <f t="shared" si="145"/>
        <v>0</v>
      </c>
      <c r="CZ162" s="2">
        <f t="shared" si="145"/>
        <v>0</v>
      </c>
      <c r="DA162" s="2">
        <f t="shared" si="145"/>
        <v>0</v>
      </c>
      <c r="DB162" s="2">
        <f t="shared" si="145"/>
        <v>0</v>
      </c>
      <c r="DC162" s="2">
        <f t="shared" si="145"/>
        <v>0</v>
      </c>
      <c r="DD162" s="2">
        <f t="shared" si="145"/>
        <v>0</v>
      </c>
      <c r="DE162" s="2">
        <f t="shared" si="145"/>
        <v>0</v>
      </c>
      <c r="DF162" s="2">
        <f t="shared" si="145"/>
        <v>0</v>
      </c>
      <c r="DG162" s="3">
        <f t="shared" ref="DG162:EL162" si="146">DG170</f>
        <v>0</v>
      </c>
      <c r="DH162" s="3">
        <f t="shared" si="146"/>
        <v>0</v>
      </c>
      <c r="DI162" s="3">
        <f t="shared" si="146"/>
        <v>0</v>
      </c>
      <c r="DJ162" s="3">
        <f t="shared" si="146"/>
        <v>0</v>
      </c>
      <c r="DK162" s="3">
        <f t="shared" si="146"/>
        <v>0</v>
      </c>
      <c r="DL162" s="3">
        <f t="shared" si="146"/>
        <v>0</v>
      </c>
      <c r="DM162" s="3">
        <f t="shared" si="146"/>
        <v>0</v>
      </c>
      <c r="DN162" s="3">
        <f t="shared" si="146"/>
        <v>0</v>
      </c>
      <c r="DO162" s="3">
        <f t="shared" si="146"/>
        <v>0</v>
      </c>
      <c r="DP162" s="3">
        <f t="shared" si="146"/>
        <v>0</v>
      </c>
      <c r="DQ162" s="3">
        <f t="shared" si="146"/>
        <v>0</v>
      </c>
      <c r="DR162" s="3">
        <f t="shared" si="146"/>
        <v>0</v>
      </c>
      <c r="DS162" s="3">
        <f t="shared" si="146"/>
        <v>0</v>
      </c>
      <c r="DT162" s="3">
        <f t="shared" si="146"/>
        <v>0</v>
      </c>
      <c r="DU162" s="3">
        <f t="shared" si="146"/>
        <v>0</v>
      </c>
      <c r="DV162" s="3">
        <f t="shared" si="146"/>
        <v>0</v>
      </c>
      <c r="DW162" s="3">
        <f t="shared" si="146"/>
        <v>0</v>
      </c>
      <c r="DX162" s="3">
        <f t="shared" si="146"/>
        <v>0</v>
      </c>
      <c r="DY162" s="3">
        <f t="shared" si="146"/>
        <v>0</v>
      </c>
      <c r="DZ162" s="3">
        <f t="shared" si="146"/>
        <v>0</v>
      </c>
      <c r="EA162" s="3">
        <f t="shared" si="146"/>
        <v>0</v>
      </c>
      <c r="EB162" s="3">
        <f t="shared" si="146"/>
        <v>0</v>
      </c>
      <c r="EC162" s="3">
        <f t="shared" si="146"/>
        <v>0</v>
      </c>
      <c r="ED162" s="3">
        <f t="shared" si="146"/>
        <v>0</v>
      </c>
      <c r="EE162" s="3">
        <f t="shared" si="146"/>
        <v>0</v>
      </c>
      <c r="EF162" s="3">
        <f t="shared" si="146"/>
        <v>0</v>
      </c>
      <c r="EG162" s="3">
        <f t="shared" si="146"/>
        <v>0</v>
      </c>
      <c r="EH162" s="3">
        <f t="shared" si="146"/>
        <v>0</v>
      </c>
      <c r="EI162" s="3">
        <f t="shared" si="146"/>
        <v>0</v>
      </c>
      <c r="EJ162" s="3">
        <f t="shared" si="146"/>
        <v>0</v>
      </c>
      <c r="EK162" s="3">
        <f t="shared" si="146"/>
        <v>0</v>
      </c>
      <c r="EL162" s="3">
        <f t="shared" si="146"/>
        <v>0</v>
      </c>
      <c r="EM162" s="3">
        <f t="shared" ref="EM162:FR162" si="147">EM170</f>
        <v>0</v>
      </c>
      <c r="EN162" s="3">
        <f t="shared" si="147"/>
        <v>0</v>
      </c>
      <c r="EO162" s="3">
        <f t="shared" si="147"/>
        <v>0</v>
      </c>
      <c r="EP162" s="3">
        <f t="shared" si="147"/>
        <v>0</v>
      </c>
      <c r="EQ162" s="3">
        <f t="shared" si="147"/>
        <v>0</v>
      </c>
      <c r="ER162" s="3">
        <f t="shared" si="147"/>
        <v>0</v>
      </c>
      <c r="ES162" s="3">
        <f t="shared" si="147"/>
        <v>0</v>
      </c>
      <c r="ET162" s="3">
        <f t="shared" si="147"/>
        <v>0</v>
      </c>
      <c r="EU162" s="3">
        <f t="shared" si="147"/>
        <v>0</v>
      </c>
      <c r="EV162" s="3">
        <f t="shared" si="147"/>
        <v>0</v>
      </c>
      <c r="EW162" s="3">
        <f t="shared" si="147"/>
        <v>0</v>
      </c>
      <c r="EX162" s="3">
        <f t="shared" si="147"/>
        <v>0</v>
      </c>
      <c r="EY162" s="3">
        <f t="shared" si="147"/>
        <v>0</v>
      </c>
      <c r="EZ162" s="3">
        <f t="shared" si="147"/>
        <v>0</v>
      </c>
      <c r="FA162" s="3">
        <f t="shared" si="147"/>
        <v>0</v>
      </c>
      <c r="FB162" s="3">
        <f t="shared" si="147"/>
        <v>0</v>
      </c>
      <c r="FC162" s="3">
        <f t="shared" si="147"/>
        <v>0</v>
      </c>
      <c r="FD162" s="3">
        <f t="shared" si="147"/>
        <v>0</v>
      </c>
      <c r="FE162" s="3">
        <f t="shared" si="147"/>
        <v>0</v>
      </c>
      <c r="FF162" s="3">
        <f t="shared" si="147"/>
        <v>0</v>
      </c>
      <c r="FG162" s="3">
        <f t="shared" si="147"/>
        <v>0</v>
      </c>
      <c r="FH162" s="3">
        <f t="shared" si="147"/>
        <v>0</v>
      </c>
      <c r="FI162" s="3">
        <f t="shared" si="147"/>
        <v>0</v>
      </c>
      <c r="FJ162" s="3">
        <f t="shared" si="147"/>
        <v>0</v>
      </c>
      <c r="FK162" s="3">
        <f t="shared" si="147"/>
        <v>0</v>
      </c>
      <c r="FL162" s="3">
        <f t="shared" si="147"/>
        <v>0</v>
      </c>
      <c r="FM162" s="3">
        <f t="shared" si="147"/>
        <v>0</v>
      </c>
      <c r="FN162" s="3">
        <f t="shared" si="147"/>
        <v>0</v>
      </c>
      <c r="FO162" s="3">
        <f t="shared" si="147"/>
        <v>0</v>
      </c>
      <c r="FP162" s="3">
        <f t="shared" si="147"/>
        <v>0</v>
      </c>
      <c r="FQ162" s="3">
        <f t="shared" si="147"/>
        <v>0</v>
      </c>
      <c r="FR162" s="3">
        <f t="shared" si="147"/>
        <v>0</v>
      </c>
      <c r="FS162" s="3">
        <f t="shared" ref="FS162:GX162" si="148">FS170</f>
        <v>0</v>
      </c>
      <c r="FT162" s="3">
        <f t="shared" si="148"/>
        <v>0</v>
      </c>
      <c r="FU162" s="3">
        <f t="shared" si="148"/>
        <v>0</v>
      </c>
      <c r="FV162" s="3">
        <f t="shared" si="148"/>
        <v>0</v>
      </c>
      <c r="FW162" s="3">
        <f t="shared" si="148"/>
        <v>0</v>
      </c>
      <c r="FX162" s="3">
        <f t="shared" si="148"/>
        <v>0</v>
      </c>
      <c r="FY162" s="3">
        <f t="shared" si="148"/>
        <v>0</v>
      </c>
      <c r="FZ162" s="3">
        <f t="shared" si="148"/>
        <v>0</v>
      </c>
      <c r="GA162" s="3">
        <f t="shared" si="148"/>
        <v>0</v>
      </c>
      <c r="GB162" s="3">
        <f t="shared" si="148"/>
        <v>0</v>
      </c>
      <c r="GC162" s="3">
        <f t="shared" si="148"/>
        <v>0</v>
      </c>
      <c r="GD162" s="3">
        <f t="shared" si="148"/>
        <v>0</v>
      </c>
      <c r="GE162" s="3">
        <f t="shared" si="148"/>
        <v>0</v>
      </c>
      <c r="GF162" s="3">
        <f t="shared" si="148"/>
        <v>0</v>
      </c>
      <c r="GG162" s="3">
        <f t="shared" si="148"/>
        <v>0</v>
      </c>
      <c r="GH162" s="3">
        <f t="shared" si="148"/>
        <v>0</v>
      </c>
      <c r="GI162" s="3">
        <f t="shared" si="148"/>
        <v>0</v>
      </c>
      <c r="GJ162" s="3">
        <f t="shared" si="148"/>
        <v>0</v>
      </c>
      <c r="GK162" s="3">
        <f t="shared" si="148"/>
        <v>0</v>
      </c>
      <c r="GL162" s="3">
        <f t="shared" si="148"/>
        <v>0</v>
      </c>
      <c r="GM162" s="3">
        <f t="shared" si="148"/>
        <v>0</v>
      </c>
      <c r="GN162" s="3">
        <f t="shared" si="148"/>
        <v>0</v>
      </c>
      <c r="GO162" s="3">
        <f t="shared" si="148"/>
        <v>0</v>
      </c>
      <c r="GP162" s="3">
        <f t="shared" si="148"/>
        <v>0</v>
      </c>
      <c r="GQ162" s="3">
        <f t="shared" si="148"/>
        <v>0</v>
      </c>
      <c r="GR162" s="3">
        <f t="shared" si="148"/>
        <v>0</v>
      </c>
      <c r="GS162" s="3">
        <f t="shared" si="148"/>
        <v>0</v>
      </c>
      <c r="GT162" s="3">
        <f t="shared" si="148"/>
        <v>0</v>
      </c>
      <c r="GU162" s="3">
        <f t="shared" si="148"/>
        <v>0</v>
      </c>
      <c r="GV162" s="3">
        <f t="shared" si="148"/>
        <v>0</v>
      </c>
      <c r="GW162" s="3">
        <f t="shared" si="148"/>
        <v>0</v>
      </c>
      <c r="GX162" s="3">
        <f t="shared" si="148"/>
        <v>0</v>
      </c>
    </row>
    <row r="164" spans="1:245" x14ac:dyDescent="0.2">
      <c r="A164">
        <v>17</v>
      </c>
      <c r="B164">
        <v>1</v>
      </c>
      <c r="C164">
        <f>ROW(SmtRes!A119)</f>
        <v>119</v>
      </c>
      <c r="D164">
        <f>ROW(EtalonRes!A141)</f>
        <v>141</v>
      </c>
      <c r="E164" t="s">
        <v>259</v>
      </c>
      <c r="F164" t="s">
        <v>24</v>
      </c>
      <c r="G164" t="s">
        <v>25</v>
      </c>
      <c r="H164" t="s">
        <v>26</v>
      </c>
      <c r="I164">
        <f>ROUND(23.9/100,9)</f>
        <v>0.23899999999999999</v>
      </c>
      <c r="J164">
        <v>0</v>
      </c>
      <c r="O164">
        <f>ROUND(CP164,0)</f>
        <v>89</v>
      </c>
      <c r="P164">
        <f>ROUND(CQ164*I164,0)</f>
        <v>0</v>
      </c>
      <c r="Q164">
        <f>ROUND(CR164*I164,0)</f>
        <v>4</v>
      </c>
      <c r="R164">
        <f>ROUND(CS164*I164,0)</f>
        <v>3</v>
      </c>
      <c r="S164">
        <f>ROUND(CT164*I164,0)</f>
        <v>85</v>
      </c>
      <c r="T164">
        <f>ROUND(CU164*I164,0)</f>
        <v>0</v>
      </c>
      <c r="U164">
        <f>CV164*I164</f>
        <v>10.040389999999999</v>
      </c>
      <c r="V164">
        <f>CW164*I164</f>
        <v>0.23660999999999999</v>
      </c>
      <c r="W164">
        <f>ROUND(CX164*I164,0)</f>
        <v>0</v>
      </c>
      <c r="X164">
        <f t="shared" ref="X164:Y168" si="149">ROUND(CY164,0)</f>
        <v>79</v>
      </c>
      <c r="Y164">
        <f t="shared" si="149"/>
        <v>39</v>
      </c>
      <c r="AA164">
        <v>224527337</v>
      </c>
      <c r="AB164">
        <f>ROUND((AC164+AD164+AF164),2)</f>
        <v>374.69</v>
      </c>
      <c r="AC164">
        <f>ROUND((ES164),2)</f>
        <v>1.32</v>
      </c>
      <c r="AD164">
        <f>ROUND((((ET164)-(EU164))+AE164),2)</f>
        <v>17.97</v>
      </c>
      <c r="AE164">
        <f t="shared" ref="AE164:AF166" si="150">ROUND((EU164),2)</f>
        <v>10.72</v>
      </c>
      <c r="AF164">
        <f t="shared" si="150"/>
        <v>355.4</v>
      </c>
      <c r="AG164">
        <f>ROUND((AP164),2)</f>
        <v>0</v>
      </c>
      <c r="AH164">
        <f t="shared" ref="AH164:AI166" si="151">(EW164)</f>
        <v>42.01</v>
      </c>
      <c r="AI164">
        <f t="shared" si="151"/>
        <v>0.99</v>
      </c>
      <c r="AJ164">
        <f>(AS164)</f>
        <v>0</v>
      </c>
      <c r="AK164">
        <v>374.69</v>
      </c>
      <c r="AL164">
        <v>1.32</v>
      </c>
      <c r="AM164">
        <v>17.97</v>
      </c>
      <c r="AN164">
        <v>10.72</v>
      </c>
      <c r="AO164">
        <v>355.4</v>
      </c>
      <c r="AP164">
        <v>0</v>
      </c>
      <c r="AQ164">
        <v>42.01</v>
      </c>
      <c r="AR164">
        <v>0.99</v>
      </c>
      <c r="AS164">
        <v>0</v>
      </c>
      <c r="AT164">
        <v>90</v>
      </c>
      <c r="AU164">
        <v>44</v>
      </c>
      <c r="AV164">
        <v>1</v>
      </c>
      <c r="AW164">
        <v>1</v>
      </c>
      <c r="AZ164">
        <v>1</v>
      </c>
      <c r="BA164">
        <v>1</v>
      </c>
      <c r="BB164">
        <v>1</v>
      </c>
      <c r="BC164">
        <v>1</v>
      </c>
      <c r="BD164" t="s">
        <v>2</v>
      </c>
      <c r="BE164" t="s">
        <v>2</v>
      </c>
      <c r="BF164" t="s">
        <v>2</v>
      </c>
      <c r="BG164" t="s">
        <v>2</v>
      </c>
      <c r="BH164">
        <v>0</v>
      </c>
      <c r="BI164">
        <v>1</v>
      </c>
      <c r="BJ164" t="s">
        <v>27</v>
      </c>
      <c r="BM164">
        <v>61001</v>
      </c>
      <c r="BN164">
        <v>0</v>
      </c>
      <c r="BO164" t="s">
        <v>2</v>
      </c>
      <c r="BP164">
        <v>0</v>
      </c>
      <c r="BQ164">
        <v>6</v>
      </c>
      <c r="BR164">
        <v>0</v>
      </c>
      <c r="BS164">
        <v>1</v>
      </c>
      <c r="BT164">
        <v>1</v>
      </c>
      <c r="BU164">
        <v>1</v>
      </c>
      <c r="BV164">
        <v>1</v>
      </c>
      <c r="BW164">
        <v>1</v>
      </c>
      <c r="BX164">
        <v>1</v>
      </c>
      <c r="BY164" t="s">
        <v>2</v>
      </c>
      <c r="BZ164">
        <v>90</v>
      </c>
      <c r="CA164">
        <v>44</v>
      </c>
      <c r="CE164">
        <v>0</v>
      </c>
      <c r="CF164">
        <v>0</v>
      </c>
      <c r="CG164">
        <v>0</v>
      </c>
      <c r="CM164">
        <v>0</v>
      </c>
      <c r="CN164" t="s">
        <v>2</v>
      </c>
      <c r="CO164">
        <v>0</v>
      </c>
      <c r="CP164">
        <f>(P164+Q164+S164)</f>
        <v>89</v>
      </c>
      <c r="CQ164">
        <f>AC164*BC164</f>
        <v>1.32</v>
      </c>
      <c r="CR164">
        <f>AD164*BB164</f>
        <v>17.97</v>
      </c>
      <c r="CS164">
        <f>AE164*BS164</f>
        <v>10.72</v>
      </c>
      <c r="CT164">
        <f>AF164*BA164</f>
        <v>355.4</v>
      </c>
      <c r="CU164">
        <f t="shared" ref="CU164:CX168" si="152">AG164</f>
        <v>0</v>
      </c>
      <c r="CV164">
        <f t="shared" si="152"/>
        <v>42.01</v>
      </c>
      <c r="CW164">
        <f t="shared" si="152"/>
        <v>0.99</v>
      </c>
      <c r="CX164">
        <f t="shared" si="152"/>
        <v>0</v>
      </c>
      <c r="CY164">
        <f>(((S164+R164)*AT164)/100)</f>
        <v>79.2</v>
      </c>
      <c r="CZ164">
        <f>(((S164+R164)*AU164)/100)</f>
        <v>38.72</v>
      </c>
      <c r="DC164" t="s">
        <v>2</v>
      </c>
      <c r="DD164" t="s">
        <v>2</v>
      </c>
      <c r="DE164" t="s">
        <v>2</v>
      </c>
      <c r="DF164" t="s">
        <v>2</v>
      </c>
      <c r="DG164" t="s">
        <v>2</v>
      </c>
      <c r="DH164" t="s">
        <v>2</v>
      </c>
      <c r="DI164" t="s">
        <v>2</v>
      </c>
      <c r="DJ164" t="s">
        <v>2</v>
      </c>
      <c r="DK164" t="s">
        <v>2</v>
      </c>
      <c r="DL164" t="s">
        <v>2</v>
      </c>
      <c r="DM164" t="s">
        <v>2</v>
      </c>
      <c r="DN164">
        <v>0</v>
      </c>
      <c r="DO164">
        <v>0</v>
      </c>
      <c r="DP164">
        <v>1</v>
      </c>
      <c r="DQ164">
        <v>1</v>
      </c>
      <c r="DU164">
        <v>1005</v>
      </c>
      <c r="DV164" t="s">
        <v>26</v>
      </c>
      <c r="DW164" t="s">
        <v>26</v>
      </c>
      <c r="DX164">
        <v>100</v>
      </c>
      <c r="DZ164" t="s">
        <v>2</v>
      </c>
      <c r="EA164" t="s">
        <v>2</v>
      </c>
      <c r="EB164" t="s">
        <v>2</v>
      </c>
      <c r="EC164" t="s">
        <v>2</v>
      </c>
      <c r="EE164">
        <v>222773648</v>
      </c>
      <c r="EF164">
        <v>6</v>
      </c>
      <c r="EG164" t="s">
        <v>20</v>
      </c>
      <c r="EH164">
        <v>95</v>
      </c>
      <c r="EI164" t="s">
        <v>28</v>
      </c>
      <c r="EJ164">
        <v>1</v>
      </c>
      <c r="EK164">
        <v>61001</v>
      </c>
      <c r="EL164" t="s">
        <v>28</v>
      </c>
      <c r="EM164" t="s">
        <v>29</v>
      </c>
      <c r="EN164" t="s">
        <v>2</v>
      </c>
      <c r="EO164" t="s">
        <v>2</v>
      </c>
      <c r="EQ164">
        <v>0</v>
      </c>
      <c r="ER164">
        <v>374.69</v>
      </c>
      <c r="ES164">
        <v>1.32</v>
      </c>
      <c r="ET164">
        <v>17.97</v>
      </c>
      <c r="EU164">
        <v>10.72</v>
      </c>
      <c r="EV164">
        <v>355.4</v>
      </c>
      <c r="EW164">
        <v>42.01</v>
      </c>
      <c r="EX164">
        <v>0.99</v>
      </c>
      <c r="EY164">
        <v>0</v>
      </c>
      <c r="FQ164">
        <v>0</v>
      </c>
      <c r="FR164">
        <f>ROUND(IF(AND(BH164=3,BI164=3),P164,0),0)</f>
        <v>0</v>
      </c>
      <c r="FS164">
        <v>0</v>
      </c>
      <c r="FX164">
        <v>90</v>
      </c>
      <c r="FY164">
        <v>44</v>
      </c>
      <c r="GA164" t="s">
        <v>2</v>
      </c>
      <c r="GD164">
        <v>1</v>
      </c>
      <c r="GF164">
        <v>-1155254250</v>
      </c>
      <c r="GG164">
        <v>2</v>
      </c>
      <c r="GH164">
        <v>1</v>
      </c>
      <c r="GI164">
        <v>-2</v>
      </c>
      <c r="GJ164">
        <v>0</v>
      </c>
      <c r="GK164">
        <v>0</v>
      </c>
      <c r="GL164">
        <f>ROUND(IF(AND(BH164=3,BI164=3,FS164&lt;&gt;0),P164,0),0)</f>
        <v>0</v>
      </c>
      <c r="GM164">
        <f>ROUND(O164+X164+Y164,0)+GX164</f>
        <v>207</v>
      </c>
      <c r="GN164">
        <f>IF(OR(BI164=0,BI164=1),ROUND(O164+X164+Y164,0),0)</f>
        <v>207</v>
      </c>
      <c r="GO164">
        <f>IF(BI164=2,ROUND(O164+X164+Y164,0),0)</f>
        <v>0</v>
      </c>
      <c r="GP164">
        <f>IF(BI164=4,ROUND(O164+X164+Y164,0)+GX164,0)</f>
        <v>0</v>
      </c>
      <c r="GR164">
        <v>0</v>
      </c>
      <c r="GS164">
        <v>3</v>
      </c>
      <c r="GT164">
        <v>0</v>
      </c>
      <c r="GU164" t="s">
        <v>2</v>
      </c>
      <c r="GV164">
        <f>ROUND((GT164),2)</f>
        <v>0</v>
      </c>
      <c r="GW164">
        <v>1</v>
      </c>
      <c r="GX164">
        <f>ROUND(HC164*I164,0)</f>
        <v>0</v>
      </c>
      <c r="HA164">
        <v>0</v>
      </c>
      <c r="HB164">
        <v>0</v>
      </c>
      <c r="HC164">
        <f>GV164*GW164</f>
        <v>0</v>
      </c>
      <c r="HE164" t="s">
        <v>2</v>
      </c>
      <c r="HF164" t="s">
        <v>2</v>
      </c>
      <c r="IK164">
        <v>0</v>
      </c>
    </row>
    <row r="165" spans="1:245" x14ac:dyDescent="0.2">
      <c r="A165">
        <v>17</v>
      </c>
      <c r="B165">
        <v>1</v>
      </c>
      <c r="E165" t="s">
        <v>260</v>
      </c>
      <c r="F165" t="s">
        <v>31</v>
      </c>
      <c r="G165" t="s">
        <v>32</v>
      </c>
      <c r="H165" t="s">
        <v>33</v>
      </c>
      <c r="I165">
        <f>ROUND(23.9*0.907,9)</f>
        <v>21.677299999999999</v>
      </c>
      <c r="J165">
        <v>0</v>
      </c>
      <c r="O165">
        <f>ROUND(CP165,0)</f>
        <v>37</v>
      </c>
      <c r="P165">
        <f>ROUND(CQ165*I165,0)</f>
        <v>37</v>
      </c>
      <c r="Q165">
        <f>ROUND(CR165*I165,0)</f>
        <v>0</v>
      </c>
      <c r="R165">
        <f>ROUND(CS165*I165,0)</f>
        <v>0</v>
      </c>
      <c r="S165">
        <f>ROUND(CT165*I165,0)</f>
        <v>0</v>
      </c>
      <c r="T165">
        <f>ROUND(CU165*I165,0)</f>
        <v>0</v>
      </c>
      <c r="U165">
        <f>CV165*I165</f>
        <v>0</v>
      </c>
      <c r="V165">
        <f>CW165*I165</f>
        <v>0</v>
      </c>
      <c r="W165">
        <f>ROUND(CX165*I165,0)</f>
        <v>0</v>
      </c>
      <c r="X165">
        <f t="shared" si="149"/>
        <v>0</v>
      </c>
      <c r="Y165">
        <f t="shared" si="149"/>
        <v>0</v>
      </c>
      <c r="AA165">
        <v>224527337</v>
      </c>
      <c r="AB165">
        <f>ROUND((AC165+AD165+AF165),2)</f>
        <v>1.72</v>
      </c>
      <c r="AC165">
        <f>ROUND((ES165),2)</f>
        <v>1.72</v>
      </c>
      <c r="AD165">
        <f>ROUND((((ET165)-(EU165))+AE165),2)</f>
        <v>0</v>
      </c>
      <c r="AE165">
        <f t="shared" si="150"/>
        <v>0</v>
      </c>
      <c r="AF165">
        <f t="shared" si="150"/>
        <v>0</v>
      </c>
      <c r="AG165">
        <f>ROUND((AP165),2)</f>
        <v>0</v>
      </c>
      <c r="AH165">
        <f t="shared" si="151"/>
        <v>0</v>
      </c>
      <c r="AI165">
        <f t="shared" si="151"/>
        <v>0</v>
      </c>
      <c r="AJ165">
        <f>(AS165)</f>
        <v>0</v>
      </c>
      <c r="AK165">
        <v>1.72</v>
      </c>
      <c r="AL165">
        <v>1.72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1</v>
      </c>
      <c r="AW165">
        <v>1</v>
      </c>
      <c r="AZ165">
        <v>1</v>
      </c>
      <c r="BA165">
        <v>1</v>
      </c>
      <c r="BB165">
        <v>1</v>
      </c>
      <c r="BC165">
        <v>1</v>
      </c>
      <c r="BD165" t="s">
        <v>2</v>
      </c>
      <c r="BE165" t="s">
        <v>2</v>
      </c>
      <c r="BF165" t="s">
        <v>2</v>
      </c>
      <c r="BG165" t="s">
        <v>2</v>
      </c>
      <c r="BH165">
        <v>3</v>
      </c>
      <c r="BI165">
        <v>1</v>
      </c>
      <c r="BJ165" t="s">
        <v>34</v>
      </c>
      <c r="BM165">
        <v>500001</v>
      </c>
      <c r="BN165">
        <v>0</v>
      </c>
      <c r="BO165" t="s">
        <v>2</v>
      </c>
      <c r="BP165">
        <v>0</v>
      </c>
      <c r="BQ165">
        <v>8</v>
      </c>
      <c r="BR165">
        <v>0</v>
      </c>
      <c r="BS165">
        <v>1</v>
      </c>
      <c r="BT165">
        <v>1</v>
      </c>
      <c r="BU165">
        <v>1</v>
      </c>
      <c r="BV165">
        <v>1</v>
      </c>
      <c r="BW165">
        <v>1</v>
      </c>
      <c r="BX165">
        <v>1</v>
      </c>
      <c r="BY165" t="s">
        <v>2</v>
      </c>
      <c r="BZ165">
        <v>0</v>
      </c>
      <c r="CA165">
        <v>0</v>
      </c>
      <c r="CE165">
        <v>0</v>
      </c>
      <c r="CF165">
        <v>0</v>
      </c>
      <c r="CG165">
        <v>0</v>
      </c>
      <c r="CM165">
        <v>0</v>
      </c>
      <c r="CN165" t="s">
        <v>2</v>
      </c>
      <c r="CO165">
        <v>0</v>
      </c>
      <c r="CP165">
        <f>(P165+Q165+S165)</f>
        <v>37</v>
      </c>
      <c r="CQ165">
        <f>AC165*BC165</f>
        <v>1.72</v>
      </c>
      <c r="CR165">
        <f>AD165*BB165</f>
        <v>0</v>
      </c>
      <c r="CS165">
        <f>AE165*BS165</f>
        <v>0</v>
      </c>
      <c r="CT165">
        <f>AF165*BA165</f>
        <v>0</v>
      </c>
      <c r="CU165">
        <f t="shared" si="152"/>
        <v>0</v>
      </c>
      <c r="CV165">
        <f t="shared" si="152"/>
        <v>0</v>
      </c>
      <c r="CW165">
        <f t="shared" si="152"/>
        <v>0</v>
      </c>
      <c r="CX165">
        <f t="shared" si="152"/>
        <v>0</v>
      </c>
      <c r="CY165">
        <f>(((S165+R165)*AT165)/100)</f>
        <v>0</v>
      </c>
      <c r="CZ165">
        <f>(((S165+R165)*AU165)/100)</f>
        <v>0</v>
      </c>
      <c r="DC165" t="s">
        <v>2</v>
      </c>
      <c r="DD165" t="s">
        <v>2</v>
      </c>
      <c r="DE165" t="s">
        <v>2</v>
      </c>
      <c r="DF165" t="s">
        <v>2</v>
      </c>
      <c r="DG165" t="s">
        <v>2</v>
      </c>
      <c r="DH165" t="s">
        <v>2</v>
      </c>
      <c r="DI165" t="s">
        <v>2</v>
      </c>
      <c r="DJ165" t="s">
        <v>2</v>
      </c>
      <c r="DK165" t="s">
        <v>2</v>
      </c>
      <c r="DL165" t="s">
        <v>2</v>
      </c>
      <c r="DM165" t="s">
        <v>2</v>
      </c>
      <c r="DN165">
        <v>0</v>
      </c>
      <c r="DO165">
        <v>0</v>
      </c>
      <c r="DP165">
        <v>1</v>
      </c>
      <c r="DQ165">
        <v>1</v>
      </c>
      <c r="DU165">
        <v>1009</v>
      </c>
      <c r="DV165" t="s">
        <v>33</v>
      </c>
      <c r="DW165" t="s">
        <v>33</v>
      </c>
      <c r="DX165">
        <v>1</v>
      </c>
      <c r="DZ165" t="s">
        <v>2</v>
      </c>
      <c r="EA165" t="s">
        <v>2</v>
      </c>
      <c r="EB165" t="s">
        <v>2</v>
      </c>
      <c r="EC165" t="s">
        <v>2</v>
      </c>
      <c r="EE165">
        <v>222773498</v>
      </c>
      <c r="EF165">
        <v>8</v>
      </c>
      <c r="EG165" t="s">
        <v>35</v>
      </c>
      <c r="EH165">
        <v>0</v>
      </c>
      <c r="EI165" t="s">
        <v>2</v>
      </c>
      <c r="EJ165">
        <v>1</v>
      </c>
      <c r="EK165">
        <v>500001</v>
      </c>
      <c r="EL165" t="s">
        <v>36</v>
      </c>
      <c r="EM165" t="s">
        <v>37</v>
      </c>
      <c r="EN165" t="s">
        <v>2</v>
      </c>
      <c r="EO165" t="s">
        <v>2</v>
      </c>
      <c r="EQ165">
        <v>0</v>
      </c>
      <c r="ER165">
        <v>1.72</v>
      </c>
      <c r="ES165">
        <v>1.72</v>
      </c>
      <c r="ET165">
        <v>0</v>
      </c>
      <c r="EU165">
        <v>0</v>
      </c>
      <c r="EV165">
        <v>0</v>
      </c>
      <c r="EW165">
        <v>0</v>
      </c>
      <c r="EX165">
        <v>0</v>
      </c>
      <c r="EY165">
        <v>0</v>
      </c>
      <c r="FQ165">
        <v>0</v>
      </c>
      <c r="FR165">
        <f>ROUND(IF(AND(BH165=3,BI165=3),P165,0),0)</f>
        <v>0</v>
      </c>
      <c r="FS165">
        <v>0</v>
      </c>
      <c r="FX165">
        <v>0</v>
      </c>
      <c r="FY165">
        <v>0</v>
      </c>
      <c r="GA165" t="s">
        <v>2</v>
      </c>
      <c r="GD165">
        <v>1</v>
      </c>
      <c r="GF165">
        <v>-170393111</v>
      </c>
      <c r="GG165">
        <v>2</v>
      </c>
      <c r="GH165">
        <v>1</v>
      </c>
      <c r="GI165">
        <v>-2</v>
      </c>
      <c r="GJ165">
        <v>0</v>
      </c>
      <c r="GK165">
        <v>0</v>
      </c>
      <c r="GL165">
        <f>ROUND(IF(AND(BH165=3,BI165=3,FS165&lt;&gt;0),P165,0),0)</f>
        <v>0</v>
      </c>
      <c r="GM165">
        <f>ROUND(O165+X165+Y165,0)+GX165</f>
        <v>37</v>
      </c>
      <c r="GN165">
        <f>IF(OR(BI165=0,BI165=1),ROUND(O165+X165+Y165,0),0)</f>
        <v>37</v>
      </c>
      <c r="GO165">
        <f>IF(BI165=2,ROUND(O165+X165+Y165,0),0)</f>
        <v>0</v>
      </c>
      <c r="GP165">
        <f>IF(BI165=4,ROUND(O165+X165+Y165,0)+GX165,0)</f>
        <v>0</v>
      </c>
      <c r="GR165">
        <v>0</v>
      </c>
      <c r="GS165">
        <v>3</v>
      </c>
      <c r="GT165">
        <v>0</v>
      </c>
      <c r="GU165" t="s">
        <v>2</v>
      </c>
      <c r="GV165">
        <f>ROUND((GT165),2)</f>
        <v>0</v>
      </c>
      <c r="GW165">
        <v>1</v>
      </c>
      <c r="GX165">
        <f>ROUND(HC165*I165,0)</f>
        <v>0</v>
      </c>
      <c r="HA165">
        <v>0</v>
      </c>
      <c r="HB165">
        <v>0</v>
      </c>
      <c r="HC165">
        <f>GV165*GW165</f>
        <v>0</v>
      </c>
      <c r="HE165" t="s">
        <v>2</v>
      </c>
      <c r="HF165" t="s">
        <v>2</v>
      </c>
      <c r="IK165">
        <v>0</v>
      </c>
    </row>
    <row r="166" spans="1:245" x14ac:dyDescent="0.2">
      <c r="A166">
        <v>17</v>
      </c>
      <c r="B166">
        <v>1</v>
      </c>
      <c r="E166" t="s">
        <v>261</v>
      </c>
      <c r="F166" t="s">
        <v>39</v>
      </c>
      <c r="G166" t="s">
        <v>40</v>
      </c>
      <c r="H166" t="s">
        <v>18</v>
      </c>
      <c r="I166">
        <f>ROUND(23.9*0.13/1000,9)</f>
        <v>3.107E-3</v>
      </c>
      <c r="J166">
        <v>0</v>
      </c>
      <c r="O166">
        <f>ROUND(CP166,0)</f>
        <v>36</v>
      </c>
      <c r="P166">
        <f>ROUND(CQ166*I166,0)</f>
        <v>36</v>
      </c>
      <c r="Q166">
        <f>ROUND(CR166*I166,0)</f>
        <v>0</v>
      </c>
      <c r="R166">
        <f>ROUND(CS166*I166,0)</f>
        <v>0</v>
      </c>
      <c r="S166">
        <f>ROUND(CT166*I166,0)</f>
        <v>0</v>
      </c>
      <c r="T166">
        <f>ROUND(CU166*I166,0)</f>
        <v>0</v>
      </c>
      <c r="U166">
        <f>CV166*I166</f>
        <v>0</v>
      </c>
      <c r="V166">
        <f>CW166*I166</f>
        <v>0</v>
      </c>
      <c r="W166">
        <f>ROUND(CX166*I166,0)</f>
        <v>0</v>
      </c>
      <c r="X166">
        <f t="shared" si="149"/>
        <v>0</v>
      </c>
      <c r="Y166">
        <f t="shared" si="149"/>
        <v>0</v>
      </c>
      <c r="AA166">
        <v>224527337</v>
      </c>
      <c r="AB166">
        <f>ROUND((AC166+AD166+AF166),2)</f>
        <v>11594.98</v>
      </c>
      <c r="AC166">
        <f>ROUND((ES166),2)</f>
        <v>11594.98</v>
      </c>
      <c r="AD166">
        <f>ROUND((((ET166)-(EU166))+AE166),2)</f>
        <v>0</v>
      </c>
      <c r="AE166">
        <f t="shared" si="150"/>
        <v>0</v>
      </c>
      <c r="AF166">
        <f t="shared" si="150"/>
        <v>0</v>
      </c>
      <c r="AG166">
        <f>ROUND((AP166),2)</f>
        <v>0</v>
      </c>
      <c r="AH166">
        <f t="shared" si="151"/>
        <v>0</v>
      </c>
      <c r="AI166">
        <f t="shared" si="151"/>
        <v>0</v>
      </c>
      <c r="AJ166">
        <f>(AS166)</f>
        <v>0</v>
      </c>
      <c r="AK166">
        <v>11594.98</v>
      </c>
      <c r="AL166">
        <v>11594.98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1</v>
      </c>
      <c r="AW166">
        <v>1</v>
      </c>
      <c r="AZ166">
        <v>1</v>
      </c>
      <c r="BA166">
        <v>1</v>
      </c>
      <c r="BB166">
        <v>1</v>
      </c>
      <c r="BC166">
        <v>1</v>
      </c>
      <c r="BD166" t="s">
        <v>2</v>
      </c>
      <c r="BE166" t="s">
        <v>2</v>
      </c>
      <c r="BF166" t="s">
        <v>2</v>
      </c>
      <c r="BG166" t="s">
        <v>2</v>
      </c>
      <c r="BH166">
        <v>3</v>
      </c>
      <c r="BI166">
        <v>1</v>
      </c>
      <c r="BJ166" t="s">
        <v>41</v>
      </c>
      <c r="BM166">
        <v>500001</v>
      </c>
      <c r="BN166">
        <v>0</v>
      </c>
      <c r="BO166" t="s">
        <v>2</v>
      </c>
      <c r="BP166">
        <v>0</v>
      </c>
      <c r="BQ166">
        <v>8</v>
      </c>
      <c r="BR166">
        <v>0</v>
      </c>
      <c r="BS166">
        <v>1</v>
      </c>
      <c r="BT166">
        <v>1</v>
      </c>
      <c r="BU166">
        <v>1</v>
      </c>
      <c r="BV166">
        <v>1</v>
      </c>
      <c r="BW166">
        <v>1</v>
      </c>
      <c r="BX166">
        <v>1</v>
      </c>
      <c r="BY166" t="s">
        <v>2</v>
      </c>
      <c r="BZ166">
        <v>0</v>
      </c>
      <c r="CA166">
        <v>0</v>
      </c>
      <c r="CE166">
        <v>0</v>
      </c>
      <c r="CF166">
        <v>0</v>
      </c>
      <c r="CG166">
        <v>0</v>
      </c>
      <c r="CM166">
        <v>0</v>
      </c>
      <c r="CN166" t="s">
        <v>2</v>
      </c>
      <c r="CO166">
        <v>0</v>
      </c>
      <c r="CP166">
        <f>(P166+Q166+S166)</f>
        <v>36</v>
      </c>
      <c r="CQ166">
        <f>AC166*BC166</f>
        <v>11594.98</v>
      </c>
      <c r="CR166">
        <f>AD166*BB166</f>
        <v>0</v>
      </c>
      <c r="CS166">
        <f>AE166*BS166</f>
        <v>0</v>
      </c>
      <c r="CT166">
        <f>AF166*BA166</f>
        <v>0</v>
      </c>
      <c r="CU166">
        <f t="shared" si="152"/>
        <v>0</v>
      </c>
      <c r="CV166">
        <f t="shared" si="152"/>
        <v>0</v>
      </c>
      <c r="CW166">
        <f t="shared" si="152"/>
        <v>0</v>
      </c>
      <c r="CX166">
        <f t="shared" si="152"/>
        <v>0</v>
      </c>
      <c r="CY166">
        <f>(((S166+R166)*AT166)/100)</f>
        <v>0</v>
      </c>
      <c r="CZ166">
        <f>(((S166+R166)*AU166)/100)</f>
        <v>0</v>
      </c>
      <c r="DC166" t="s">
        <v>2</v>
      </c>
      <c r="DD166" t="s">
        <v>2</v>
      </c>
      <c r="DE166" t="s">
        <v>2</v>
      </c>
      <c r="DF166" t="s">
        <v>2</v>
      </c>
      <c r="DG166" t="s">
        <v>2</v>
      </c>
      <c r="DH166" t="s">
        <v>2</v>
      </c>
      <c r="DI166" t="s">
        <v>2</v>
      </c>
      <c r="DJ166" t="s">
        <v>2</v>
      </c>
      <c r="DK166" t="s">
        <v>2</v>
      </c>
      <c r="DL166" t="s">
        <v>2</v>
      </c>
      <c r="DM166" t="s">
        <v>2</v>
      </c>
      <c r="DN166">
        <v>0</v>
      </c>
      <c r="DO166">
        <v>0</v>
      </c>
      <c r="DP166">
        <v>1</v>
      </c>
      <c r="DQ166">
        <v>1</v>
      </c>
      <c r="DU166">
        <v>1009</v>
      </c>
      <c r="DV166" t="s">
        <v>18</v>
      </c>
      <c r="DW166" t="s">
        <v>18</v>
      </c>
      <c r="DX166">
        <v>1000</v>
      </c>
      <c r="DZ166" t="s">
        <v>2</v>
      </c>
      <c r="EA166" t="s">
        <v>2</v>
      </c>
      <c r="EB166" t="s">
        <v>2</v>
      </c>
      <c r="EC166" t="s">
        <v>2</v>
      </c>
      <c r="EE166">
        <v>222773498</v>
      </c>
      <c r="EF166">
        <v>8</v>
      </c>
      <c r="EG166" t="s">
        <v>35</v>
      </c>
      <c r="EH166">
        <v>0</v>
      </c>
      <c r="EI166" t="s">
        <v>2</v>
      </c>
      <c r="EJ166">
        <v>1</v>
      </c>
      <c r="EK166">
        <v>500001</v>
      </c>
      <c r="EL166" t="s">
        <v>36</v>
      </c>
      <c r="EM166" t="s">
        <v>37</v>
      </c>
      <c r="EN166" t="s">
        <v>2</v>
      </c>
      <c r="EO166" t="s">
        <v>2</v>
      </c>
      <c r="EQ166">
        <v>0</v>
      </c>
      <c r="ER166">
        <v>11594.98</v>
      </c>
      <c r="ES166">
        <v>11594.98</v>
      </c>
      <c r="ET166">
        <v>0</v>
      </c>
      <c r="EU166">
        <v>0</v>
      </c>
      <c r="EV166">
        <v>0</v>
      </c>
      <c r="EW166">
        <v>0</v>
      </c>
      <c r="EX166">
        <v>0</v>
      </c>
      <c r="EY166">
        <v>0</v>
      </c>
      <c r="FQ166">
        <v>0</v>
      </c>
      <c r="FR166">
        <f>ROUND(IF(AND(BH166=3,BI166=3),P166,0),0)</f>
        <v>0</v>
      </c>
      <c r="FS166">
        <v>0</v>
      </c>
      <c r="FX166">
        <v>0</v>
      </c>
      <c r="FY166">
        <v>0</v>
      </c>
      <c r="GA166" t="s">
        <v>2</v>
      </c>
      <c r="GD166">
        <v>1</v>
      </c>
      <c r="GF166">
        <v>-836788675</v>
      </c>
      <c r="GG166">
        <v>2</v>
      </c>
      <c r="GH166">
        <v>1</v>
      </c>
      <c r="GI166">
        <v>-2</v>
      </c>
      <c r="GJ166">
        <v>0</v>
      </c>
      <c r="GK166">
        <v>0</v>
      </c>
      <c r="GL166">
        <f>ROUND(IF(AND(BH166=3,BI166=3,FS166&lt;&gt;0),P166,0),0)</f>
        <v>0</v>
      </c>
      <c r="GM166">
        <f>ROUND(O166+X166+Y166,0)+GX166</f>
        <v>36</v>
      </c>
      <c r="GN166">
        <f>IF(OR(BI166=0,BI166=1),ROUND(O166+X166+Y166,0),0)</f>
        <v>36</v>
      </c>
      <c r="GO166">
        <f>IF(BI166=2,ROUND(O166+X166+Y166,0),0)</f>
        <v>0</v>
      </c>
      <c r="GP166">
        <f>IF(BI166=4,ROUND(O166+X166+Y166,0)+GX166,0)</f>
        <v>0</v>
      </c>
      <c r="GR166">
        <v>0</v>
      </c>
      <c r="GS166">
        <v>3</v>
      </c>
      <c r="GT166">
        <v>0</v>
      </c>
      <c r="GU166" t="s">
        <v>2</v>
      </c>
      <c r="GV166">
        <f>ROUND((GT166),2)</f>
        <v>0</v>
      </c>
      <c r="GW166">
        <v>1</v>
      </c>
      <c r="GX166">
        <f>ROUND(HC166*I166,0)</f>
        <v>0</v>
      </c>
      <c r="HA166">
        <v>0</v>
      </c>
      <c r="HB166">
        <v>0</v>
      </c>
      <c r="HC166">
        <f>GV166*GW166</f>
        <v>0</v>
      </c>
      <c r="HE166" t="s">
        <v>2</v>
      </c>
      <c r="HF166" t="s">
        <v>2</v>
      </c>
      <c r="IK166">
        <v>0</v>
      </c>
    </row>
    <row r="167" spans="1:245" x14ac:dyDescent="0.2">
      <c r="A167">
        <v>17</v>
      </c>
      <c r="B167">
        <v>1</v>
      </c>
      <c r="C167">
        <f>ROW(SmtRes!A126)</f>
        <v>126</v>
      </c>
      <c r="D167">
        <f>ROW(EtalonRes!A149)</f>
        <v>149</v>
      </c>
      <c r="E167" t="s">
        <v>262</v>
      </c>
      <c r="F167" t="s">
        <v>263</v>
      </c>
      <c r="G167" t="s">
        <v>264</v>
      </c>
      <c r="H167" t="s">
        <v>26</v>
      </c>
      <c r="I167">
        <f>ROUND(23.9/100,9)</f>
        <v>0.23899999999999999</v>
      </c>
      <c r="J167">
        <v>0</v>
      </c>
      <c r="O167">
        <f>ROUND(CP167,0)</f>
        <v>51</v>
      </c>
      <c r="P167">
        <f>ROUND(CQ167*I167,0)</f>
        <v>11</v>
      </c>
      <c r="Q167">
        <f>ROUND(CR167*I167,0)</f>
        <v>2</v>
      </c>
      <c r="R167">
        <f>ROUND(CS167*I167,0)</f>
        <v>0</v>
      </c>
      <c r="S167">
        <f>ROUND(CT167*I167,0)</f>
        <v>38</v>
      </c>
      <c r="T167">
        <f>ROUND(CU167*I167,0)</f>
        <v>0</v>
      </c>
      <c r="U167">
        <f>CV167*I167</f>
        <v>4.232689999999999</v>
      </c>
      <c r="V167">
        <f>CW167*I167</f>
        <v>2.9874999999999999E-2</v>
      </c>
      <c r="W167">
        <f>ROUND(CX167*I167,0)</f>
        <v>0</v>
      </c>
      <c r="X167">
        <f t="shared" si="149"/>
        <v>38</v>
      </c>
      <c r="Y167">
        <f t="shared" si="149"/>
        <v>16</v>
      </c>
      <c r="AA167">
        <v>224527337</v>
      </c>
      <c r="AB167">
        <f>ROUND((AC167+AD167+AF167),2)</f>
        <v>214.33</v>
      </c>
      <c r="AC167">
        <f>ROUND((ES167),2)</f>
        <v>47.69</v>
      </c>
      <c r="AD167">
        <f>ROUND(((((ET167*1.25))-((EU167*1.25)))+AE167),2)</f>
        <v>7.78</v>
      </c>
      <c r="AE167">
        <f>ROUND(((EU167*1.25)),2)</f>
        <v>1.48</v>
      </c>
      <c r="AF167">
        <f>ROUND(((EV167*1.15)),2)</f>
        <v>158.86000000000001</v>
      </c>
      <c r="AG167">
        <f>ROUND((AP167),2)</f>
        <v>0</v>
      </c>
      <c r="AH167">
        <f>((EW167*1.15))</f>
        <v>17.709999999999997</v>
      </c>
      <c r="AI167">
        <f>((EX167*1.25))</f>
        <v>0.125</v>
      </c>
      <c r="AJ167">
        <f>(AS167)</f>
        <v>0</v>
      </c>
      <c r="AK167">
        <v>192.05</v>
      </c>
      <c r="AL167">
        <v>47.69</v>
      </c>
      <c r="AM167">
        <v>6.22</v>
      </c>
      <c r="AN167">
        <v>1.18</v>
      </c>
      <c r="AO167">
        <v>138.13999999999999</v>
      </c>
      <c r="AP167">
        <v>0</v>
      </c>
      <c r="AQ167">
        <v>15.4</v>
      </c>
      <c r="AR167">
        <v>0.1</v>
      </c>
      <c r="AS167">
        <v>0</v>
      </c>
      <c r="AT167">
        <v>101</v>
      </c>
      <c r="AU167">
        <v>41.65</v>
      </c>
      <c r="AV167">
        <v>1</v>
      </c>
      <c r="AW167">
        <v>1</v>
      </c>
      <c r="AZ167">
        <v>1</v>
      </c>
      <c r="BA167">
        <v>1</v>
      </c>
      <c r="BB167">
        <v>1</v>
      </c>
      <c r="BC167">
        <v>1</v>
      </c>
      <c r="BD167" t="s">
        <v>2</v>
      </c>
      <c r="BE167" t="s">
        <v>2</v>
      </c>
      <c r="BF167" t="s">
        <v>2</v>
      </c>
      <c r="BG167" t="s">
        <v>2</v>
      </c>
      <c r="BH167">
        <v>0</v>
      </c>
      <c r="BI167">
        <v>1</v>
      </c>
      <c r="BJ167" t="s">
        <v>265</v>
      </c>
      <c r="BM167">
        <v>15001</v>
      </c>
      <c r="BN167">
        <v>0</v>
      </c>
      <c r="BO167" t="s">
        <v>2</v>
      </c>
      <c r="BP167">
        <v>0</v>
      </c>
      <c r="BQ167">
        <v>2</v>
      </c>
      <c r="BR167">
        <v>0</v>
      </c>
      <c r="BS167">
        <v>1</v>
      </c>
      <c r="BT167">
        <v>1</v>
      </c>
      <c r="BU167">
        <v>1</v>
      </c>
      <c r="BV167">
        <v>1</v>
      </c>
      <c r="BW167">
        <v>1</v>
      </c>
      <c r="BX167">
        <v>1</v>
      </c>
      <c r="BY167" t="s">
        <v>2</v>
      </c>
      <c r="BZ167">
        <v>101</v>
      </c>
      <c r="CA167">
        <v>49</v>
      </c>
      <c r="CE167">
        <v>0</v>
      </c>
      <c r="CF167">
        <v>0</v>
      </c>
      <c r="CG167">
        <v>0</v>
      </c>
      <c r="CM167">
        <v>0</v>
      </c>
      <c r="CN167" t="s">
        <v>806</v>
      </c>
      <c r="CO167">
        <v>0</v>
      </c>
      <c r="CP167">
        <f>(P167+Q167+S167)</f>
        <v>51</v>
      </c>
      <c r="CQ167">
        <f>AC167*BC167</f>
        <v>47.69</v>
      </c>
      <c r="CR167">
        <f>AD167*BB167</f>
        <v>7.78</v>
      </c>
      <c r="CS167">
        <f>AE167*BS167</f>
        <v>1.48</v>
      </c>
      <c r="CT167">
        <f>AF167*BA167</f>
        <v>158.86000000000001</v>
      </c>
      <c r="CU167">
        <f t="shared" si="152"/>
        <v>0</v>
      </c>
      <c r="CV167">
        <f t="shared" si="152"/>
        <v>17.709999999999997</v>
      </c>
      <c r="CW167">
        <f t="shared" si="152"/>
        <v>0.125</v>
      </c>
      <c r="CX167">
        <f t="shared" si="152"/>
        <v>0</v>
      </c>
      <c r="CY167">
        <f>(((S167+R167)*AT167)/100)</f>
        <v>38.380000000000003</v>
      </c>
      <c r="CZ167">
        <f>(((S167+R167)*AU167)/100)</f>
        <v>15.827</v>
      </c>
      <c r="DC167" t="s">
        <v>2</v>
      </c>
      <c r="DD167" t="s">
        <v>2</v>
      </c>
      <c r="DE167" t="s">
        <v>266</v>
      </c>
      <c r="DF167" t="s">
        <v>266</v>
      </c>
      <c r="DG167" t="s">
        <v>179</v>
      </c>
      <c r="DH167" t="s">
        <v>2</v>
      </c>
      <c r="DI167" t="s">
        <v>179</v>
      </c>
      <c r="DJ167" t="s">
        <v>266</v>
      </c>
      <c r="DK167" t="s">
        <v>2</v>
      </c>
      <c r="DL167" t="s">
        <v>2</v>
      </c>
      <c r="DM167" t="s">
        <v>67</v>
      </c>
      <c r="DN167">
        <v>0</v>
      </c>
      <c r="DO167">
        <v>0</v>
      </c>
      <c r="DP167">
        <v>1</v>
      </c>
      <c r="DQ167">
        <v>1</v>
      </c>
      <c r="DU167">
        <v>1005</v>
      </c>
      <c r="DV167" t="s">
        <v>26</v>
      </c>
      <c r="DW167" t="s">
        <v>26</v>
      </c>
      <c r="DX167">
        <v>100</v>
      </c>
      <c r="DZ167" t="s">
        <v>2</v>
      </c>
      <c r="EA167" t="s">
        <v>2</v>
      </c>
      <c r="EB167" t="s">
        <v>2</v>
      </c>
      <c r="EC167" t="s">
        <v>2</v>
      </c>
      <c r="EE167">
        <v>222773592</v>
      </c>
      <c r="EF167">
        <v>2</v>
      </c>
      <c r="EG167" t="s">
        <v>47</v>
      </c>
      <c r="EH167">
        <v>15</v>
      </c>
      <c r="EI167" t="s">
        <v>48</v>
      </c>
      <c r="EJ167">
        <v>1</v>
      </c>
      <c r="EK167">
        <v>15001</v>
      </c>
      <c r="EL167" t="s">
        <v>48</v>
      </c>
      <c r="EM167" t="s">
        <v>49</v>
      </c>
      <c r="EN167" t="s">
        <v>2</v>
      </c>
      <c r="EO167" t="s">
        <v>267</v>
      </c>
      <c r="EQ167">
        <v>0</v>
      </c>
      <c r="ER167">
        <v>192.05</v>
      </c>
      <c r="ES167">
        <v>47.69</v>
      </c>
      <c r="ET167">
        <v>6.22</v>
      </c>
      <c r="EU167">
        <v>1.18</v>
      </c>
      <c r="EV167">
        <v>138.13999999999999</v>
      </c>
      <c r="EW167">
        <v>15.4</v>
      </c>
      <c r="EX167">
        <v>0.1</v>
      </c>
      <c r="EY167">
        <v>0</v>
      </c>
      <c r="FQ167">
        <v>0</v>
      </c>
      <c r="FR167">
        <f>ROUND(IF(AND(BH167=3,BI167=3),P167,0),0)</f>
        <v>0</v>
      </c>
      <c r="FS167">
        <v>0</v>
      </c>
      <c r="FX167">
        <v>101</v>
      </c>
      <c r="FY167">
        <v>41.65</v>
      </c>
      <c r="GA167" t="s">
        <v>2</v>
      </c>
      <c r="GD167">
        <v>1</v>
      </c>
      <c r="GF167">
        <v>-1581305084</v>
      </c>
      <c r="GG167">
        <v>2</v>
      </c>
      <c r="GH167">
        <v>1</v>
      </c>
      <c r="GI167">
        <v>-2</v>
      </c>
      <c r="GJ167">
        <v>0</v>
      </c>
      <c r="GK167">
        <v>0</v>
      </c>
      <c r="GL167">
        <f>ROUND(IF(AND(BH167=3,BI167=3,FS167&lt;&gt;0),P167,0),0)</f>
        <v>0</v>
      </c>
      <c r="GM167">
        <f>ROUND(O167+X167+Y167,0)+GX167</f>
        <v>105</v>
      </c>
      <c r="GN167">
        <f>IF(OR(BI167=0,BI167=1),ROUND(O167+X167+Y167,0),0)</f>
        <v>105</v>
      </c>
      <c r="GO167">
        <f>IF(BI167=2,ROUND(O167+X167+Y167,0),0)</f>
        <v>0</v>
      </c>
      <c r="GP167">
        <f>IF(BI167=4,ROUND(O167+X167+Y167,0)+GX167,0)</f>
        <v>0</v>
      </c>
      <c r="GR167">
        <v>0</v>
      </c>
      <c r="GS167">
        <v>3</v>
      </c>
      <c r="GT167">
        <v>0</v>
      </c>
      <c r="GU167" t="s">
        <v>2</v>
      </c>
      <c r="GV167">
        <f>ROUND((GT167),2)</f>
        <v>0</v>
      </c>
      <c r="GW167">
        <v>1</v>
      </c>
      <c r="GX167">
        <f>ROUND(HC167*I167,0)</f>
        <v>0</v>
      </c>
      <c r="HA167">
        <v>0</v>
      </c>
      <c r="HB167">
        <v>0</v>
      </c>
      <c r="HC167">
        <f>GV167*GW167</f>
        <v>0</v>
      </c>
      <c r="HE167" t="s">
        <v>2</v>
      </c>
      <c r="HF167" t="s">
        <v>2</v>
      </c>
      <c r="IK167">
        <v>0</v>
      </c>
    </row>
    <row r="168" spans="1:245" x14ac:dyDescent="0.2">
      <c r="A168">
        <v>17</v>
      </c>
      <c r="B168">
        <v>1</v>
      </c>
      <c r="E168" t="s">
        <v>268</v>
      </c>
      <c r="F168" t="s">
        <v>52</v>
      </c>
      <c r="G168" t="s">
        <v>53</v>
      </c>
      <c r="H168" t="s">
        <v>18</v>
      </c>
      <c r="I168">
        <f>ROUND(0.239*0.052,9)</f>
        <v>1.2428E-2</v>
      </c>
      <c r="J168">
        <v>0</v>
      </c>
      <c r="O168">
        <f>ROUND(CP168,0)</f>
        <v>184</v>
      </c>
      <c r="P168">
        <f>ROUND(CQ168*I168,0)</f>
        <v>184</v>
      </c>
      <c r="Q168">
        <f>ROUND(CR168*I168,0)</f>
        <v>0</v>
      </c>
      <c r="R168">
        <f>ROUND(CS168*I168,0)</f>
        <v>0</v>
      </c>
      <c r="S168">
        <f>ROUND(CT168*I168,0)</f>
        <v>0</v>
      </c>
      <c r="T168">
        <f>ROUND(CU168*I168,0)</f>
        <v>0</v>
      </c>
      <c r="U168">
        <f>CV168*I168</f>
        <v>0</v>
      </c>
      <c r="V168">
        <f>CW168*I168</f>
        <v>0</v>
      </c>
      <c r="W168">
        <f>ROUND(CX168*I168,0)</f>
        <v>0</v>
      </c>
      <c r="X168">
        <f t="shared" si="149"/>
        <v>0</v>
      </c>
      <c r="Y168">
        <f t="shared" si="149"/>
        <v>0</v>
      </c>
      <c r="AA168">
        <v>224527337</v>
      </c>
      <c r="AB168">
        <f>ROUND((AC168+AD168+AF168),2)</f>
        <v>14837.58</v>
      </c>
      <c r="AC168">
        <f>ROUND((ES168),2)</f>
        <v>14837.58</v>
      </c>
      <c r="AD168">
        <f>ROUND((((ET168)-(EU168))+AE168),2)</f>
        <v>0</v>
      </c>
      <c r="AE168">
        <f>ROUND((EU168),2)</f>
        <v>0</v>
      </c>
      <c r="AF168">
        <f>ROUND((EV168),2)</f>
        <v>0</v>
      </c>
      <c r="AG168">
        <f>ROUND((AP168),2)</f>
        <v>0</v>
      </c>
      <c r="AH168">
        <f>(EW168)</f>
        <v>0</v>
      </c>
      <c r="AI168">
        <f>(EX168)</f>
        <v>0</v>
      </c>
      <c r="AJ168">
        <f>(AS168)</f>
        <v>0</v>
      </c>
      <c r="AK168">
        <v>14837.58</v>
      </c>
      <c r="AL168">
        <v>14837.58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0</v>
      </c>
      <c r="AV168">
        <v>1</v>
      </c>
      <c r="AW168">
        <v>1</v>
      </c>
      <c r="AZ168">
        <v>1</v>
      </c>
      <c r="BA168">
        <v>1</v>
      </c>
      <c r="BB168">
        <v>1</v>
      </c>
      <c r="BC168">
        <v>1</v>
      </c>
      <c r="BD168" t="s">
        <v>2</v>
      </c>
      <c r="BE168" t="s">
        <v>2</v>
      </c>
      <c r="BF168" t="s">
        <v>2</v>
      </c>
      <c r="BG168" t="s">
        <v>2</v>
      </c>
      <c r="BH168">
        <v>3</v>
      </c>
      <c r="BI168">
        <v>1</v>
      </c>
      <c r="BJ168" t="s">
        <v>54</v>
      </c>
      <c r="BM168">
        <v>500001</v>
      </c>
      <c r="BN168">
        <v>0</v>
      </c>
      <c r="BO168" t="s">
        <v>2</v>
      </c>
      <c r="BP168">
        <v>0</v>
      </c>
      <c r="BQ168">
        <v>8</v>
      </c>
      <c r="BR168">
        <v>0</v>
      </c>
      <c r="BS168">
        <v>1</v>
      </c>
      <c r="BT168">
        <v>1</v>
      </c>
      <c r="BU168">
        <v>1</v>
      </c>
      <c r="BV168">
        <v>1</v>
      </c>
      <c r="BW168">
        <v>1</v>
      </c>
      <c r="BX168">
        <v>1</v>
      </c>
      <c r="BY168" t="s">
        <v>2</v>
      </c>
      <c r="BZ168">
        <v>0</v>
      </c>
      <c r="CA168">
        <v>0</v>
      </c>
      <c r="CE168">
        <v>0</v>
      </c>
      <c r="CF168">
        <v>0</v>
      </c>
      <c r="CG168">
        <v>0</v>
      </c>
      <c r="CM168">
        <v>0</v>
      </c>
      <c r="CN168" t="s">
        <v>2</v>
      </c>
      <c r="CO168">
        <v>0</v>
      </c>
      <c r="CP168">
        <f>(P168+Q168+S168)</f>
        <v>184</v>
      </c>
      <c r="CQ168">
        <f>AC168*BC168</f>
        <v>14837.58</v>
      </c>
      <c r="CR168">
        <f>AD168*BB168</f>
        <v>0</v>
      </c>
      <c r="CS168">
        <f>AE168*BS168</f>
        <v>0</v>
      </c>
      <c r="CT168">
        <f>AF168*BA168</f>
        <v>0</v>
      </c>
      <c r="CU168">
        <f t="shared" si="152"/>
        <v>0</v>
      </c>
      <c r="CV168">
        <f t="shared" si="152"/>
        <v>0</v>
      </c>
      <c r="CW168">
        <f t="shared" si="152"/>
        <v>0</v>
      </c>
      <c r="CX168">
        <f t="shared" si="152"/>
        <v>0</v>
      </c>
      <c r="CY168">
        <f>(((S168+R168)*AT168)/100)</f>
        <v>0</v>
      </c>
      <c r="CZ168">
        <f>(((S168+R168)*AU168)/100)</f>
        <v>0</v>
      </c>
      <c r="DC168" t="s">
        <v>2</v>
      </c>
      <c r="DD168" t="s">
        <v>2</v>
      </c>
      <c r="DE168" t="s">
        <v>2</v>
      </c>
      <c r="DF168" t="s">
        <v>2</v>
      </c>
      <c r="DG168" t="s">
        <v>2</v>
      </c>
      <c r="DH168" t="s">
        <v>2</v>
      </c>
      <c r="DI168" t="s">
        <v>2</v>
      </c>
      <c r="DJ168" t="s">
        <v>2</v>
      </c>
      <c r="DK168" t="s">
        <v>2</v>
      </c>
      <c r="DL168" t="s">
        <v>2</v>
      </c>
      <c r="DM168" t="s">
        <v>2</v>
      </c>
      <c r="DN168">
        <v>0</v>
      </c>
      <c r="DO168">
        <v>0</v>
      </c>
      <c r="DP168">
        <v>1</v>
      </c>
      <c r="DQ168">
        <v>1</v>
      </c>
      <c r="DU168">
        <v>1009</v>
      </c>
      <c r="DV168" t="s">
        <v>18</v>
      </c>
      <c r="DW168" t="s">
        <v>18</v>
      </c>
      <c r="DX168">
        <v>1000</v>
      </c>
      <c r="DZ168" t="s">
        <v>2</v>
      </c>
      <c r="EA168" t="s">
        <v>2</v>
      </c>
      <c r="EB168" t="s">
        <v>2</v>
      </c>
      <c r="EC168" t="s">
        <v>2</v>
      </c>
      <c r="EE168">
        <v>222773498</v>
      </c>
      <c r="EF168">
        <v>8</v>
      </c>
      <c r="EG168" t="s">
        <v>35</v>
      </c>
      <c r="EH168">
        <v>0</v>
      </c>
      <c r="EI168" t="s">
        <v>2</v>
      </c>
      <c r="EJ168">
        <v>1</v>
      </c>
      <c r="EK168">
        <v>500001</v>
      </c>
      <c r="EL168" t="s">
        <v>36</v>
      </c>
      <c r="EM168" t="s">
        <v>37</v>
      </c>
      <c r="EN168" t="s">
        <v>2</v>
      </c>
      <c r="EO168" t="s">
        <v>2</v>
      </c>
      <c r="EQ168">
        <v>0</v>
      </c>
      <c r="ER168">
        <v>14837.58</v>
      </c>
      <c r="ES168">
        <v>14837.58</v>
      </c>
      <c r="ET168">
        <v>0</v>
      </c>
      <c r="EU168">
        <v>0</v>
      </c>
      <c r="EV168">
        <v>0</v>
      </c>
      <c r="EW168">
        <v>0</v>
      </c>
      <c r="EX168">
        <v>0</v>
      </c>
      <c r="EY168">
        <v>0</v>
      </c>
      <c r="FQ168">
        <v>0</v>
      </c>
      <c r="FR168">
        <f>ROUND(IF(AND(BH168=3,BI168=3),P168,0),0)</f>
        <v>0</v>
      </c>
      <c r="FS168">
        <v>0</v>
      </c>
      <c r="FX168">
        <v>0</v>
      </c>
      <c r="FY168">
        <v>0</v>
      </c>
      <c r="GA168" t="s">
        <v>2</v>
      </c>
      <c r="GD168">
        <v>1</v>
      </c>
      <c r="GF168">
        <v>-1974147358</v>
      </c>
      <c r="GG168">
        <v>2</v>
      </c>
      <c r="GH168">
        <v>1</v>
      </c>
      <c r="GI168">
        <v>-2</v>
      </c>
      <c r="GJ168">
        <v>0</v>
      </c>
      <c r="GK168">
        <v>0</v>
      </c>
      <c r="GL168">
        <f>ROUND(IF(AND(BH168=3,BI168=3,FS168&lt;&gt;0),P168,0),0)</f>
        <v>0</v>
      </c>
      <c r="GM168">
        <f>ROUND(O168+X168+Y168,0)+GX168</f>
        <v>184</v>
      </c>
      <c r="GN168">
        <f>IF(OR(BI168=0,BI168=1),ROUND(O168+X168+Y168,0),0)</f>
        <v>184</v>
      </c>
      <c r="GO168">
        <f>IF(BI168=2,ROUND(O168+X168+Y168,0),0)</f>
        <v>0</v>
      </c>
      <c r="GP168">
        <f>IF(BI168=4,ROUND(O168+X168+Y168,0)+GX168,0)</f>
        <v>0</v>
      </c>
      <c r="GR168">
        <v>0</v>
      </c>
      <c r="GS168">
        <v>3</v>
      </c>
      <c r="GT168">
        <v>0</v>
      </c>
      <c r="GU168" t="s">
        <v>2</v>
      </c>
      <c r="GV168">
        <f>ROUND((GT168),2)</f>
        <v>0</v>
      </c>
      <c r="GW168">
        <v>1</v>
      </c>
      <c r="GX168">
        <f>ROUND(HC168*I168,0)</f>
        <v>0</v>
      </c>
      <c r="HA168">
        <v>0</v>
      </c>
      <c r="HB168">
        <v>0</v>
      </c>
      <c r="HC168">
        <f>GV168*GW168</f>
        <v>0</v>
      </c>
      <c r="HE168" t="s">
        <v>2</v>
      </c>
      <c r="HF168" t="s">
        <v>2</v>
      </c>
      <c r="IK168">
        <v>0</v>
      </c>
    </row>
    <row r="170" spans="1:245" x14ac:dyDescent="0.2">
      <c r="A170" s="2">
        <v>51</v>
      </c>
      <c r="B170" s="2">
        <f>B160</f>
        <v>1</v>
      </c>
      <c r="C170" s="2">
        <f>A160</f>
        <v>4</v>
      </c>
      <c r="D170" s="2">
        <f>ROW(A160)</f>
        <v>160</v>
      </c>
      <c r="E170" s="2"/>
      <c r="F170" s="2" t="str">
        <f>IF(F160&lt;&gt;"",F160,"")</f>
        <v>Новый раздел</v>
      </c>
      <c r="G170" s="2" t="str">
        <f>IF(G160&lt;&gt;"",G160,"")</f>
        <v>Помещения уборочного инвентаря</v>
      </c>
      <c r="H170" s="2">
        <v>0</v>
      </c>
      <c r="I170" s="2"/>
      <c r="J170" s="2"/>
      <c r="K170" s="2"/>
      <c r="L170" s="2"/>
      <c r="M170" s="2"/>
      <c r="N170" s="2"/>
      <c r="O170" s="2">
        <f t="shared" ref="O170:T170" si="153">ROUND(AB170,0)</f>
        <v>397</v>
      </c>
      <c r="P170" s="2">
        <f t="shared" si="153"/>
        <v>268</v>
      </c>
      <c r="Q170" s="2">
        <f t="shared" si="153"/>
        <v>6</v>
      </c>
      <c r="R170" s="2">
        <f t="shared" si="153"/>
        <v>3</v>
      </c>
      <c r="S170" s="2">
        <f t="shared" si="153"/>
        <v>123</v>
      </c>
      <c r="T170" s="2">
        <f t="shared" si="153"/>
        <v>0</v>
      </c>
      <c r="U170" s="2">
        <f>AH170</f>
        <v>14.273079999999997</v>
      </c>
      <c r="V170" s="2">
        <f>AI170</f>
        <v>0.26648499999999997</v>
      </c>
      <c r="W170" s="2">
        <f>ROUND(AJ170,0)</f>
        <v>0</v>
      </c>
      <c r="X170" s="2">
        <f>ROUND(AK170,0)</f>
        <v>117</v>
      </c>
      <c r="Y170" s="2">
        <f>ROUND(AL170,0)</f>
        <v>55</v>
      </c>
      <c r="Z170" s="2"/>
      <c r="AA170" s="2"/>
      <c r="AB170" s="2">
        <f>ROUND(SUMIF(AA164:AA168,"=224527337",O164:O168),0)</f>
        <v>397</v>
      </c>
      <c r="AC170" s="2">
        <f>ROUND(SUMIF(AA164:AA168,"=224527337",P164:P168),0)</f>
        <v>268</v>
      </c>
      <c r="AD170" s="2">
        <f>ROUND(SUMIF(AA164:AA168,"=224527337",Q164:Q168),0)</f>
        <v>6</v>
      </c>
      <c r="AE170" s="2">
        <f>ROUND(SUMIF(AA164:AA168,"=224527337",R164:R168),0)</f>
        <v>3</v>
      </c>
      <c r="AF170" s="2">
        <f>ROUND(SUMIF(AA164:AA168,"=224527337",S164:S168),0)</f>
        <v>123</v>
      </c>
      <c r="AG170" s="2">
        <f>ROUND(SUMIF(AA164:AA168,"=224527337",T164:T168),0)</f>
        <v>0</v>
      </c>
      <c r="AH170" s="2">
        <f>SUMIF(AA164:AA168,"=224527337",U164:U168)</f>
        <v>14.273079999999997</v>
      </c>
      <c r="AI170" s="2">
        <f>SUMIF(AA164:AA168,"=224527337",V164:V168)</f>
        <v>0.26648499999999997</v>
      </c>
      <c r="AJ170" s="2">
        <f>ROUND(SUMIF(AA164:AA168,"=224527337",W164:W168),0)</f>
        <v>0</v>
      </c>
      <c r="AK170" s="2">
        <f>ROUND(SUMIF(AA164:AA168,"=224527337",X164:X168),0)</f>
        <v>117</v>
      </c>
      <c r="AL170" s="2">
        <f>ROUND(SUMIF(AA164:AA168,"=224527337",Y164:Y168),0)</f>
        <v>55</v>
      </c>
      <c r="AM170" s="2"/>
      <c r="AN170" s="2"/>
      <c r="AO170" s="2">
        <f t="shared" ref="AO170:BD170" si="154">ROUND(BX170,0)</f>
        <v>0</v>
      </c>
      <c r="AP170" s="2">
        <f t="shared" si="154"/>
        <v>0</v>
      </c>
      <c r="AQ170" s="2">
        <f t="shared" si="154"/>
        <v>0</v>
      </c>
      <c r="AR170" s="2">
        <f t="shared" si="154"/>
        <v>569</v>
      </c>
      <c r="AS170" s="2">
        <f t="shared" si="154"/>
        <v>569</v>
      </c>
      <c r="AT170" s="2">
        <f t="shared" si="154"/>
        <v>0</v>
      </c>
      <c r="AU170" s="2">
        <f t="shared" si="154"/>
        <v>0</v>
      </c>
      <c r="AV170" s="2">
        <f t="shared" si="154"/>
        <v>268</v>
      </c>
      <c r="AW170" s="2">
        <f t="shared" si="154"/>
        <v>268</v>
      </c>
      <c r="AX170" s="2">
        <f t="shared" si="154"/>
        <v>0</v>
      </c>
      <c r="AY170" s="2">
        <f t="shared" si="154"/>
        <v>268</v>
      </c>
      <c r="AZ170" s="2">
        <f t="shared" si="154"/>
        <v>0</v>
      </c>
      <c r="BA170" s="2">
        <f t="shared" si="154"/>
        <v>0</v>
      </c>
      <c r="BB170" s="2">
        <f t="shared" si="154"/>
        <v>0</v>
      </c>
      <c r="BC170" s="2">
        <f t="shared" si="154"/>
        <v>0</v>
      </c>
      <c r="BD170" s="2">
        <f t="shared" si="154"/>
        <v>0</v>
      </c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>
        <f>ROUND(SUMIF(AA164:AA168,"=224527337",FQ164:FQ168),0)</f>
        <v>0</v>
      </c>
      <c r="BY170" s="2">
        <f>ROUND(SUMIF(AA164:AA168,"=224527337",FR164:FR168),0)</f>
        <v>0</v>
      </c>
      <c r="BZ170" s="2">
        <f>ROUND(SUMIF(AA164:AA168,"=224527337",GL164:GL168),0)</f>
        <v>0</v>
      </c>
      <c r="CA170" s="2">
        <f>ROUND(SUMIF(AA164:AA168,"=224527337",GM164:GM168),0)</f>
        <v>569</v>
      </c>
      <c r="CB170" s="2">
        <f>ROUND(SUMIF(AA164:AA168,"=224527337",GN164:GN168),0)</f>
        <v>569</v>
      </c>
      <c r="CC170" s="2">
        <f>ROUND(SUMIF(AA164:AA168,"=224527337",GO164:GO168),0)</f>
        <v>0</v>
      </c>
      <c r="CD170" s="2">
        <f>ROUND(SUMIF(AA164:AA168,"=224527337",GP164:GP168),0)</f>
        <v>0</v>
      </c>
      <c r="CE170" s="2">
        <f>AC170-BX170</f>
        <v>268</v>
      </c>
      <c r="CF170" s="2">
        <f>AC170-BY170</f>
        <v>268</v>
      </c>
      <c r="CG170" s="2">
        <f>BX170-BZ170</f>
        <v>0</v>
      </c>
      <c r="CH170" s="2">
        <f>AC170-BX170-BY170+BZ170</f>
        <v>268</v>
      </c>
      <c r="CI170" s="2">
        <f>BY170-BZ170</f>
        <v>0</v>
      </c>
      <c r="CJ170" s="2">
        <f>ROUND(SUMIF(AA164:AA168,"=224527337",GX164:GX168),0)</f>
        <v>0</v>
      </c>
      <c r="CK170" s="2">
        <f>ROUND(SUMIF(AA164:AA168,"=224527337",GY164:GY168),0)</f>
        <v>0</v>
      </c>
      <c r="CL170" s="2">
        <f>ROUND(SUMIF(AA164:AA168,"=224527337",GZ164:GZ168),0)</f>
        <v>0</v>
      </c>
      <c r="CM170" s="2">
        <f>ROUND(SUMIF(AA164:AA168,"=224527337",HD164:HD168),0)</f>
        <v>0</v>
      </c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>
        <v>0</v>
      </c>
    </row>
    <row r="172" spans="1:245" x14ac:dyDescent="0.2">
      <c r="A172" s="4">
        <v>50</v>
      </c>
      <c r="B172" s="4">
        <v>0</v>
      </c>
      <c r="C172" s="4">
        <v>0</v>
      </c>
      <c r="D172" s="4">
        <v>1</v>
      </c>
      <c r="E172" s="4">
        <v>201</v>
      </c>
      <c r="F172" s="4">
        <f>ROUND(Source!O170,O172)</f>
        <v>397</v>
      </c>
      <c r="G172" s="4" t="s">
        <v>120</v>
      </c>
      <c r="H172" s="4" t="s">
        <v>121</v>
      </c>
      <c r="I172" s="4"/>
      <c r="J172" s="4"/>
      <c r="K172" s="4">
        <v>201</v>
      </c>
      <c r="L172" s="4">
        <v>1</v>
      </c>
      <c r="M172" s="4">
        <v>3</v>
      </c>
      <c r="N172" s="4" t="s">
        <v>2</v>
      </c>
      <c r="O172" s="4">
        <v>0</v>
      </c>
      <c r="P172" s="4"/>
      <c r="Q172" s="4"/>
      <c r="R172" s="4"/>
      <c r="S172" s="4"/>
      <c r="T172" s="4"/>
      <c r="U172" s="4"/>
      <c r="V172" s="4"/>
      <c r="W172" s="4"/>
    </row>
    <row r="173" spans="1:245" x14ac:dyDescent="0.2">
      <c r="A173" s="4">
        <v>50</v>
      </c>
      <c r="B173" s="4">
        <v>0</v>
      </c>
      <c r="C173" s="4">
        <v>0</v>
      </c>
      <c r="D173" s="4">
        <v>1</v>
      </c>
      <c r="E173" s="4">
        <v>202</v>
      </c>
      <c r="F173" s="4">
        <f>ROUND(Source!P170,O173)</f>
        <v>268</v>
      </c>
      <c r="G173" s="4" t="s">
        <v>122</v>
      </c>
      <c r="H173" s="4" t="s">
        <v>123</v>
      </c>
      <c r="I173" s="4"/>
      <c r="J173" s="4"/>
      <c r="K173" s="4">
        <v>202</v>
      </c>
      <c r="L173" s="4">
        <v>2</v>
      </c>
      <c r="M173" s="4">
        <v>3</v>
      </c>
      <c r="N173" s="4" t="s">
        <v>2</v>
      </c>
      <c r="O173" s="4">
        <v>0</v>
      </c>
      <c r="P173" s="4"/>
      <c r="Q173" s="4"/>
      <c r="R173" s="4"/>
      <c r="S173" s="4"/>
      <c r="T173" s="4"/>
      <c r="U173" s="4"/>
      <c r="V173" s="4"/>
      <c r="W173" s="4"/>
    </row>
    <row r="174" spans="1:245" x14ac:dyDescent="0.2">
      <c r="A174" s="4">
        <v>50</v>
      </c>
      <c r="B174" s="4">
        <v>0</v>
      </c>
      <c r="C174" s="4">
        <v>0</v>
      </c>
      <c r="D174" s="4">
        <v>1</v>
      </c>
      <c r="E174" s="4">
        <v>222</v>
      </c>
      <c r="F174" s="4">
        <f>ROUND(Source!AO170,O174)</f>
        <v>0</v>
      </c>
      <c r="G174" s="4" t="s">
        <v>124</v>
      </c>
      <c r="H174" s="4" t="s">
        <v>125</v>
      </c>
      <c r="I174" s="4"/>
      <c r="J174" s="4"/>
      <c r="K174" s="4">
        <v>222</v>
      </c>
      <c r="L174" s="4">
        <v>3</v>
      </c>
      <c r="M174" s="4">
        <v>3</v>
      </c>
      <c r="N174" s="4" t="s">
        <v>2</v>
      </c>
      <c r="O174" s="4">
        <v>0</v>
      </c>
      <c r="P174" s="4"/>
      <c r="Q174" s="4"/>
      <c r="R174" s="4"/>
      <c r="S174" s="4"/>
      <c r="T174" s="4"/>
      <c r="U174" s="4"/>
      <c r="V174" s="4"/>
      <c r="W174" s="4"/>
    </row>
    <row r="175" spans="1:245" x14ac:dyDescent="0.2">
      <c r="A175" s="4">
        <v>50</v>
      </c>
      <c r="B175" s="4">
        <v>0</v>
      </c>
      <c r="C175" s="4">
        <v>0</v>
      </c>
      <c r="D175" s="4">
        <v>1</v>
      </c>
      <c r="E175" s="4">
        <v>225</v>
      </c>
      <c r="F175" s="4">
        <f>ROUND(Source!AV170,O175)</f>
        <v>268</v>
      </c>
      <c r="G175" s="4" t="s">
        <v>126</v>
      </c>
      <c r="H175" s="4" t="s">
        <v>127</v>
      </c>
      <c r="I175" s="4"/>
      <c r="J175" s="4"/>
      <c r="K175" s="4">
        <v>225</v>
      </c>
      <c r="L175" s="4">
        <v>4</v>
      </c>
      <c r="M175" s="4">
        <v>3</v>
      </c>
      <c r="N175" s="4" t="s">
        <v>2</v>
      </c>
      <c r="O175" s="4">
        <v>0</v>
      </c>
      <c r="P175" s="4"/>
      <c r="Q175" s="4"/>
      <c r="R175" s="4"/>
      <c r="S175" s="4"/>
      <c r="T175" s="4"/>
      <c r="U175" s="4"/>
      <c r="V175" s="4"/>
      <c r="W175" s="4"/>
    </row>
    <row r="176" spans="1:245" x14ac:dyDescent="0.2">
      <c r="A176" s="4">
        <v>50</v>
      </c>
      <c r="B176" s="4">
        <v>0</v>
      </c>
      <c r="C176" s="4">
        <v>0</v>
      </c>
      <c r="D176" s="4">
        <v>1</v>
      </c>
      <c r="E176" s="4">
        <v>226</v>
      </c>
      <c r="F176" s="4">
        <f>ROUND(Source!AW170,O176)</f>
        <v>268</v>
      </c>
      <c r="G176" s="4" t="s">
        <v>128</v>
      </c>
      <c r="H176" s="4" t="s">
        <v>129</v>
      </c>
      <c r="I176" s="4"/>
      <c r="J176" s="4"/>
      <c r="K176" s="4">
        <v>226</v>
      </c>
      <c r="L176" s="4">
        <v>5</v>
      </c>
      <c r="M176" s="4">
        <v>3</v>
      </c>
      <c r="N176" s="4" t="s">
        <v>2</v>
      </c>
      <c r="O176" s="4">
        <v>0</v>
      </c>
      <c r="P176" s="4"/>
      <c r="Q176" s="4"/>
      <c r="R176" s="4"/>
      <c r="S176" s="4"/>
      <c r="T176" s="4"/>
      <c r="U176" s="4"/>
      <c r="V176" s="4"/>
      <c r="W176" s="4"/>
    </row>
    <row r="177" spans="1:23" x14ac:dyDescent="0.2">
      <c r="A177" s="4">
        <v>50</v>
      </c>
      <c r="B177" s="4">
        <v>0</v>
      </c>
      <c r="C177" s="4">
        <v>0</v>
      </c>
      <c r="D177" s="4">
        <v>1</v>
      </c>
      <c r="E177" s="4">
        <v>227</v>
      </c>
      <c r="F177" s="4">
        <f>ROUND(Source!AX170,O177)</f>
        <v>0</v>
      </c>
      <c r="G177" s="4" t="s">
        <v>130</v>
      </c>
      <c r="H177" s="4" t="s">
        <v>131</v>
      </c>
      <c r="I177" s="4"/>
      <c r="J177" s="4"/>
      <c r="K177" s="4">
        <v>227</v>
      </c>
      <c r="L177" s="4">
        <v>6</v>
      </c>
      <c r="M177" s="4">
        <v>3</v>
      </c>
      <c r="N177" s="4" t="s">
        <v>2</v>
      </c>
      <c r="O177" s="4">
        <v>0</v>
      </c>
      <c r="P177" s="4"/>
      <c r="Q177" s="4"/>
      <c r="R177" s="4"/>
      <c r="S177" s="4"/>
      <c r="T177" s="4"/>
      <c r="U177" s="4"/>
      <c r="V177" s="4"/>
      <c r="W177" s="4"/>
    </row>
    <row r="178" spans="1:23" x14ac:dyDescent="0.2">
      <c r="A178" s="4">
        <v>50</v>
      </c>
      <c r="B178" s="4">
        <v>0</v>
      </c>
      <c r="C178" s="4">
        <v>0</v>
      </c>
      <c r="D178" s="4">
        <v>1</v>
      </c>
      <c r="E178" s="4">
        <v>228</v>
      </c>
      <c r="F178" s="4">
        <f>ROUND(Source!AY170,O178)</f>
        <v>268</v>
      </c>
      <c r="G178" s="4" t="s">
        <v>132</v>
      </c>
      <c r="H178" s="4" t="s">
        <v>133</v>
      </c>
      <c r="I178" s="4"/>
      <c r="J178" s="4"/>
      <c r="K178" s="4">
        <v>228</v>
      </c>
      <c r="L178" s="4">
        <v>7</v>
      </c>
      <c r="M178" s="4">
        <v>3</v>
      </c>
      <c r="N178" s="4" t="s">
        <v>2</v>
      </c>
      <c r="O178" s="4">
        <v>0</v>
      </c>
      <c r="P178" s="4"/>
      <c r="Q178" s="4"/>
      <c r="R178" s="4"/>
      <c r="S178" s="4"/>
      <c r="T178" s="4"/>
      <c r="U178" s="4"/>
      <c r="V178" s="4"/>
      <c r="W178" s="4"/>
    </row>
    <row r="179" spans="1:23" x14ac:dyDescent="0.2">
      <c r="A179" s="4">
        <v>50</v>
      </c>
      <c r="B179" s="4">
        <v>0</v>
      </c>
      <c r="C179" s="4">
        <v>0</v>
      </c>
      <c r="D179" s="4">
        <v>1</v>
      </c>
      <c r="E179" s="4">
        <v>216</v>
      </c>
      <c r="F179" s="4">
        <f>ROUND(Source!AP170,O179)</f>
        <v>0</v>
      </c>
      <c r="G179" s="4" t="s">
        <v>134</v>
      </c>
      <c r="H179" s="4" t="s">
        <v>135</v>
      </c>
      <c r="I179" s="4"/>
      <c r="J179" s="4"/>
      <c r="K179" s="4">
        <v>216</v>
      </c>
      <c r="L179" s="4">
        <v>8</v>
      </c>
      <c r="M179" s="4">
        <v>3</v>
      </c>
      <c r="N179" s="4" t="s">
        <v>2</v>
      </c>
      <c r="O179" s="4">
        <v>0</v>
      </c>
      <c r="P179" s="4"/>
      <c r="Q179" s="4"/>
      <c r="R179" s="4"/>
      <c r="S179" s="4"/>
      <c r="T179" s="4"/>
      <c r="U179" s="4"/>
      <c r="V179" s="4"/>
      <c r="W179" s="4"/>
    </row>
    <row r="180" spans="1:23" x14ac:dyDescent="0.2">
      <c r="A180" s="4">
        <v>50</v>
      </c>
      <c r="B180" s="4">
        <v>0</v>
      </c>
      <c r="C180" s="4">
        <v>0</v>
      </c>
      <c r="D180" s="4">
        <v>1</v>
      </c>
      <c r="E180" s="4">
        <v>223</v>
      </c>
      <c r="F180" s="4">
        <f>ROUND(Source!AQ170,O180)</f>
        <v>0</v>
      </c>
      <c r="G180" s="4" t="s">
        <v>136</v>
      </c>
      <c r="H180" s="4" t="s">
        <v>137</v>
      </c>
      <c r="I180" s="4"/>
      <c r="J180" s="4"/>
      <c r="K180" s="4">
        <v>223</v>
      </c>
      <c r="L180" s="4">
        <v>9</v>
      </c>
      <c r="M180" s="4">
        <v>3</v>
      </c>
      <c r="N180" s="4" t="s">
        <v>2</v>
      </c>
      <c r="O180" s="4">
        <v>0</v>
      </c>
      <c r="P180" s="4"/>
      <c r="Q180" s="4"/>
      <c r="R180" s="4"/>
      <c r="S180" s="4"/>
      <c r="T180" s="4"/>
      <c r="U180" s="4"/>
      <c r="V180" s="4"/>
      <c r="W180" s="4"/>
    </row>
    <row r="181" spans="1:23" x14ac:dyDescent="0.2">
      <c r="A181" s="4">
        <v>50</v>
      </c>
      <c r="B181" s="4">
        <v>0</v>
      </c>
      <c r="C181" s="4">
        <v>0</v>
      </c>
      <c r="D181" s="4">
        <v>1</v>
      </c>
      <c r="E181" s="4">
        <v>229</v>
      </c>
      <c r="F181" s="4">
        <f>ROUND(Source!AZ170,O181)</f>
        <v>0</v>
      </c>
      <c r="G181" s="4" t="s">
        <v>138</v>
      </c>
      <c r="H181" s="4" t="s">
        <v>139</v>
      </c>
      <c r="I181" s="4"/>
      <c r="J181" s="4"/>
      <c r="K181" s="4">
        <v>229</v>
      </c>
      <c r="L181" s="4">
        <v>10</v>
      </c>
      <c r="M181" s="4">
        <v>3</v>
      </c>
      <c r="N181" s="4" t="s">
        <v>2</v>
      </c>
      <c r="O181" s="4">
        <v>0</v>
      </c>
      <c r="P181" s="4"/>
      <c r="Q181" s="4"/>
      <c r="R181" s="4"/>
      <c r="S181" s="4"/>
      <c r="T181" s="4"/>
      <c r="U181" s="4"/>
      <c r="V181" s="4"/>
      <c r="W181" s="4"/>
    </row>
    <row r="182" spans="1:23" x14ac:dyDescent="0.2">
      <c r="A182" s="4">
        <v>50</v>
      </c>
      <c r="B182" s="4">
        <v>0</v>
      </c>
      <c r="C182" s="4">
        <v>0</v>
      </c>
      <c r="D182" s="4">
        <v>1</v>
      </c>
      <c r="E182" s="4">
        <v>203</v>
      </c>
      <c r="F182" s="4">
        <f>ROUND(Source!Q170,O182)</f>
        <v>6</v>
      </c>
      <c r="G182" s="4" t="s">
        <v>140</v>
      </c>
      <c r="H182" s="4" t="s">
        <v>141</v>
      </c>
      <c r="I182" s="4"/>
      <c r="J182" s="4"/>
      <c r="K182" s="4">
        <v>203</v>
      </c>
      <c r="L182" s="4">
        <v>11</v>
      </c>
      <c r="M182" s="4">
        <v>3</v>
      </c>
      <c r="N182" s="4" t="s">
        <v>2</v>
      </c>
      <c r="O182" s="4">
        <v>0</v>
      </c>
      <c r="P182" s="4"/>
      <c r="Q182" s="4"/>
      <c r="R182" s="4"/>
      <c r="S182" s="4"/>
      <c r="T182" s="4"/>
      <c r="U182" s="4"/>
      <c r="V182" s="4"/>
      <c r="W182" s="4"/>
    </row>
    <row r="183" spans="1:23" x14ac:dyDescent="0.2">
      <c r="A183" s="4">
        <v>50</v>
      </c>
      <c r="B183" s="4">
        <v>0</v>
      </c>
      <c r="C183" s="4">
        <v>0</v>
      </c>
      <c r="D183" s="4">
        <v>1</v>
      </c>
      <c r="E183" s="4">
        <v>231</v>
      </c>
      <c r="F183" s="4">
        <f>ROUND(Source!BB170,O183)</f>
        <v>0</v>
      </c>
      <c r="G183" s="4" t="s">
        <v>142</v>
      </c>
      <c r="H183" s="4" t="s">
        <v>143</v>
      </c>
      <c r="I183" s="4"/>
      <c r="J183" s="4"/>
      <c r="K183" s="4">
        <v>231</v>
      </c>
      <c r="L183" s="4">
        <v>12</v>
      </c>
      <c r="M183" s="4">
        <v>3</v>
      </c>
      <c r="N183" s="4" t="s">
        <v>2</v>
      </c>
      <c r="O183" s="4">
        <v>0</v>
      </c>
      <c r="P183" s="4"/>
      <c r="Q183" s="4"/>
      <c r="R183" s="4"/>
      <c r="S183" s="4"/>
      <c r="T183" s="4"/>
      <c r="U183" s="4"/>
      <c r="V183" s="4"/>
      <c r="W183" s="4"/>
    </row>
    <row r="184" spans="1:23" x14ac:dyDescent="0.2">
      <c r="A184" s="4">
        <v>50</v>
      </c>
      <c r="B184" s="4">
        <v>0</v>
      </c>
      <c r="C184" s="4">
        <v>0</v>
      </c>
      <c r="D184" s="4">
        <v>1</v>
      </c>
      <c r="E184" s="4">
        <v>204</v>
      </c>
      <c r="F184" s="4">
        <f>ROUND(Source!R170,O184)</f>
        <v>3</v>
      </c>
      <c r="G184" s="4" t="s">
        <v>144</v>
      </c>
      <c r="H184" s="4" t="s">
        <v>145</v>
      </c>
      <c r="I184" s="4"/>
      <c r="J184" s="4"/>
      <c r="K184" s="4">
        <v>204</v>
      </c>
      <c r="L184" s="4">
        <v>13</v>
      </c>
      <c r="M184" s="4">
        <v>3</v>
      </c>
      <c r="N184" s="4" t="s">
        <v>2</v>
      </c>
      <c r="O184" s="4">
        <v>0</v>
      </c>
      <c r="P184" s="4"/>
      <c r="Q184" s="4"/>
      <c r="R184" s="4"/>
      <c r="S184" s="4"/>
      <c r="T184" s="4"/>
      <c r="U184" s="4"/>
      <c r="V184" s="4"/>
      <c r="W184" s="4"/>
    </row>
    <row r="185" spans="1:23" x14ac:dyDescent="0.2">
      <c r="A185" s="4">
        <v>50</v>
      </c>
      <c r="B185" s="4">
        <v>0</v>
      </c>
      <c r="C185" s="4">
        <v>0</v>
      </c>
      <c r="D185" s="4">
        <v>1</v>
      </c>
      <c r="E185" s="4">
        <v>205</v>
      </c>
      <c r="F185" s="4">
        <f>ROUND(Source!S170,O185)</f>
        <v>123</v>
      </c>
      <c r="G185" s="4" t="s">
        <v>146</v>
      </c>
      <c r="H185" s="4" t="s">
        <v>147</v>
      </c>
      <c r="I185" s="4"/>
      <c r="J185" s="4"/>
      <c r="K185" s="4">
        <v>205</v>
      </c>
      <c r="L185" s="4">
        <v>14</v>
      </c>
      <c r="M185" s="4">
        <v>3</v>
      </c>
      <c r="N185" s="4" t="s">
        <v>2</v>
      </c>
      <c r="O185" s="4">
        <v>0</v>
      </c>
      <c r="P185" s="4"/>
      <c r="Q185" s="4"/>
      <c r="R185" s="4"/>
      <c r="S185" s="4"/>
      <c r="T185" s="4"/>
      <c r="U185" s="4"/>
      <c r="V185" s="4"/>
      <c r="W185" s="4"/>
    </row>
    <row r="186" spans="1:23" x14ac:dyDescent="0.2">
      <c r="A186" s="4">
        <v>50</v>
      </c>
      <c r="B186" s="4">
        <v>0</v>
      </c>
      <c r="C186" s="4">
        <v>0</v>
      </c>
      <c r="D186" s="4">
        <v>1</v>
      </c>
      <c r="E186" s="4">
        <v>232</v>
      </c>
      <c r="F186" s="4">
        <f>ROUND(Source!BC170,O186)</f>
        <v>0</v>
      </c>
      <c r="G186" s="4" t="s">
        <v>148</v>
      </c>
      <c r="H186" s="4" t="s">
        <v>149</v>
      </c>
      <c r="I186" s="4"/>
      <c r="J186" s="4"/>
      <c r="K186" s="4">
        <v>232</v>
      </c>
      <c r="L186" s="4">
        <v>15</v>
      </c>
      <c r="M186" s="4">
        <v>3</v>
      </c>
      <c r="N186" s="4" t="s">
        <v>2</v>
      </c>
      <c r="O186" s="4">
        <v>0</v>
      </c>
      <c r="P186" s="4"/>
      <c r="Q186" s="4"/>
      <c r="R186" s="4"/>
      <c r="S186" s="4"/>
      <c r="T186" s="4"/>
      <c r="U186" s="4"/>
      <c r="V186" s="4"/>
      <c r="W186" s="4"/>
    </row>
    <row r="187" spans="1:23" x14ac:dyDescent="0.2">
      <c r="A187" s="4">
        <v>50</v>
      </c>
      <c r="B187" s="4">
        <v>0</v>
      </c>
      <c r="C187" s="4">
        <v>0</v>
      </c>
      <c r="D187" s="4">
        <v>1</v>
      </c>
      <c r="E187" s="4">
        <v>214</v>
      </c>
      <c r="F187" s="4">
        <f>ROUND(Source!AS170,O187)</f>
        <v>569</v>
      </c>
      <c r="G187" s="4" t="s">
        <v>150</v>
      </c>
      <c r="H187" s="4" t="s">
        <v>151</v>
      </c>
      <c r="I187" s="4"/>
      <c r="J187" s="4"/>
      <c r="K187" s="4">
        <v>214</v>
      </c>
      <c r="L187" s="4">
        <v>16</v>
      </c>
      <c r="M187" s="4">
        <v>3</v>
      </c>
      <c r="N187" s="4" t="s">
        <v>2</v>
      </c>
      <c r="O187" s="4">
        <v>0</v>
      </c>
      <c r="P187" s="4"/>
      <c r="Q187" s="4"/>
      <c r="R187" s="4"/>
      <c r="S187" s="4"/>
      <c r="T187" s="4"/>
      <c r="U187" s="4"/>
      <c r="V187" s="4"/>
      <c r="W187" s="4"/>
    </row>
    <row r="188" spans="1:23" x14ac:dyDescent="0.2">
      <c r="A188" s="4">
        <v>50</v>
      </c>
      <c r="B188" s="4">
        <v>0</v>
      </c>
      <c r="C188" s="4">
        <v>0</v>
      </c>
      <c r="D188" s="4">
        <v>1</v>
      </c>
      <c r="E188" s="4">
        <v>215</v>
      </c>
      <c r="F188" s="4">
        <f>ROUND(Source!AT170,O188)</f>
        <v>0</v>
      </c>
      <c r="G188" s="4" t="s">
        <v>152</v>
      </c>
      <c r="H188" s="4" t="s">
        <v>153</v>
      </c>
      <c r="I188" s="4"/>
      <c r="J188" s="4"/>
      <c r="K188" s="4">
        <v>215</v>
      </c>
      <c r="L188" s="4">
        <v>17</v>
      </c>
      <c r="M188" s="4">
        <v>3</v>
      </c>
      <c r="N188" s="4" t="s">
        <v>2</v>
      </c>
      <c r="O188" s="4">
        <v>0</v>
      </c>
      <c r="P188" s="4"/>
      <c r="Q188" s="4"/>
      <c r="R188" s="4"/>
      <c r="S188" s="4"/>
      <c r="T188" s="4"/>
      <c r="U188" s="4"/>
      <c r="V188" s="4"/>
      <c r="W188" s="4"/>
    </row>
    <row r="189" spans="1:23" x14ac:dyDescent="0.2">
      <c r="A189" s="4">
        <v>50</v>
      </c>
      <c r="B189" s="4">
        <v>0</v>
      </c>
      <c r="C189" s="4">
        <v>0</v>
      </c>
      <c r="D189" s="4">
        <v>1</v>
      </c>
      <c r="E189" s="4">
        <v>217</v>
      </c>
      <c r="F189" s="4">
        <f>ROUND(Source!AU170,O189)</f>
        <v>0</v>
      </c>
      <c r="G189" s="4" t="s">
        <v>154</v>
      </c>
      <c r="H189" s="4" t="s">
        <v>155</v>
      </c>
      <c r="I189" s="4"/>
      <c r="J189" s="4"/>
      <c r="K189" s="4">
        <v>217</v>
      </c>
      <c r="L189" s="4">
        <v>18</v>
      </c>
      <c r="M189" s="4">
        <v>3</v>
      </c>
      <c r="N189" s="4" t="s">
        <v>2</v>
      </c>
      <c r="O189" s="4">
        <v>0</v>
      </c>
      <c r="P189" s="4"/>
      <c r="Q189" s="4"/>
      <c r="R189" s="4"/>
      <c r="S189" s="4"/>
      <c r="T189" s="4"/>
      <c r="U189" s="4"/>
      <c r="V189" s="4"/>
      <c r="W189" s="4"/>
    </row>
    <row r="190" spans="1:23" x14ac:dyDescent="0.2">
      <c r="A190" s="4">
        <v>50</v>
      </c>
      <c r="B190" s="4">
        <v>0</v>
      </c>
      <c r="C190" s="4">
        <v>0</v>
      </c>
      <c r="D190" s="4">
        <v>1</v>
      </c>
      <c r="E190" s="4">
        <v>230</v>
      </c>
      <c r="F190" s="4">
        <f>ROUND(Source!BA170,O190)</f>
        <v>0</v>
      </c>
      <c r="G190" s="4" t="s">
        <v>156</v>
      </c>
      <c r="H190" s="4" t="s">
        <v>157</v>
      </c>
      <c r="I190" s="4"/>
      <c r="J190" s="4"/>
      <c r="K190" s="4">
        <v>230</v>
      </c>
      <c r="L190" s="4">
        <v>19</v>
      </c>
      <c r="M190" s="4">
        <v>3</v>
      </c>
      <c r="N190" s="4" t="s">
        <v>2</v>
      </c>
      <c r="O190" s="4">
        <v>0</v>
      </c>
      <c r="P190" s="4"/>
      <c r="Q190" s="4"/>
      <c r="R190" s="4"/>
      <c r="S190" s="4"/>
      <c r="T190" s="4"/>
      <c r="U190" s="4"/>
      <c r="V190" s="4"/>
      <c r="W190" s="4"/>
    </row>
    <row r="191" spans="1:23" x14ac:dyDescent="0.2">
      <c r="A191" s="4">
        <v>50</v>
      </c>
      <c r="B191" s="4">
        <v>0</v>
      </c>
      <c r="C191" s="4">
        <v>0</v>
      </c>
      <c r="D191" s="4">
        <v>1</v>
      </c>
      <c r="E191" s="4">
        <v>206</v>
      </c>
      <c r="F191" s="4">
        <f>ROUND(Source!T170,O191)</f>
        <v>0</v>
      </c>
      <c r="G191" s="4" t="s">
        <v>158</v>
      </c>
      <c r="H191" s="4" t="s">
        <v>159</v>
      </c>
      <c r="I191" s="4"/>
      <c r="J191" s="4"/>
      <c r="K191" s="4">
        <v>206</v>
      </c>
      <c r="L191" s="4">
        <v>20</v>
      </c>
      <c r="M191" s="4">
        <v>3</v>
      </c>
      <c r="N191" s="4" t="s">
        <v>2</v>
      </c>
      <c r="O191" s="4">
        <v>0</v>
      </c>
      <c r="P191" s="4"/>
      <c r="Q191" s="4"/>
      <c r="R191" s="4"/>
      <c r="S191" s="4"/>
      <c r="T191" s="4"/>
      <c r="U191" s="4"/>
      <c r="V191" s="4"/>
      <c r="W191" s="4"/>
    </row>
    <row r="192" spans="1:23" x14ac:dyDescent="0.2">
      <c r="A192" s="4">
        <v>50</v>
      </c>
      <c r="B192" s="4">
        <v>0</v>
      </c>
      <c r="C192" s="4">
        <v>0</v>
      </c>
      <c r="D192" s="4">
        <v>1</v>
      </c>
      <c r="E192" s="4">
        <v>207</v>
      </c>
      <c r="F192" s="4">
        <f>Source!U170</f>
        <v>14.273079999999997</v>
      </c>
      <c r="G192" s="4" t="s">
        <v>160</v>
      </c>
      <c r="H192" s="4" t="s">
        <v>161</v>
      </c>
      <c r="I192" s="4"/>
      <c r="J192" s="4"/>
      <c r="K192" s="4">
        <v>207</v>
      </c>
      <c r="L192" s="4">
        <v>21</v>
      </c>
      <c r="M192" s="4">
        <v>3</v>
      </c>
      <c r="N192" s="4" t="s">
        <v>2</v>
      </c>
      <c r="O192" s="4">
        <v>-1</v>
      </c>
      <c r="P192" s="4"/>
      <c r="Q192" s="4"/>
      <c r="R192" s="4"/>
      <c r="S192" s="4"/>
      <c r="T192" s="4"/>
      <c r="U192" s="4"/>
      <c r="V192" s="4"/>
      <c r="W192" s="4"/>
    </row>
    <row r="193" spans="1:206" x14ac:dyDescent="0.2">
      <c r="A193" s="4">
        <v>50</v>
      </c>
      <c r="B193" s="4">
        <v>0</v>
      </c>
      <c r="C193" s="4">
        <v>0</v>
      </c>
      <c r="D193" s="4">
        <v>1</v>
      </c>
      <c r="E193" s="4">
        <v>208</v>
      </c>
      <c r="F193" s="4">
        <f>Source!V170</f>
        <v>0.26648499999999997</v>
      </c>
      <c r="G193" s="4" t="s">
        <v>162</v>
      </c>
      <c r="H193" s="4" t="s">
        <v>163</v>
      </c>
      <c r="I193" s="4"/>
      <c r="J193" s="4"/>
      <c r="K193" s="4">
        <v>208</v>
      </c>
      <c r="L193" s="4">
        <v>22</v>
      </c>
      <c r="M193" s="4">
        <v>3</v>
      </c>
      <c r="N193" s="4" t="s">
        <v>2</v>
      </c>
      <c r="O193" s="4">
        <v>-1</v>
      </c>
      <c r="P193" s="4"/>
      <c r="Q193" s="4"/>
      <c r="R193" s="4"/>
      <c r="S193" s="4"/>
      <c r="T193" s="4"/>
      <c r="U193" s="4"/>
      <c r="V193" s="4"/>
      <c r="W193" s="4"/>
    </row>
    <row r="194" spans="1:206" x14ac:dyDescent="0.2">
      <c r="A194" s="4">
        <v>50</v>
      </c>
      <c r="B194" s="4">
        <v>0</v>
      </c>
      <c r="C194" s="4">
        <v>0</v>
      </c>
      <c r="D194" s="4">
        <v>1</v>
      </c>
      <c r="E194" s="4">
        <v>209</v>
      </c>
      <c r="F194" s="4">
        <f>ROUND(Source!W170,O194)</f>
        <v>0</v>
      </c>
      <c r="G194" s="4" t="s">
        <v>164</v>
      </c>
      <c r="H194" s="4" t="s">
        <v>165</v>
      </c>
      <c r="I194" s="4"/>
      <c r="J194" s="4"/>
      <c r="K194" s="4">
        <v>209</v>
      </c>
      <c r="L194" s="4">
        <v>23</v>
      </c>
      <c r="M194" s="4">
        <v>3</v>
      </c>
      <c r="N194" s="4" t="s">
        <v>2</v>
      </c>
      <c r="O194" s="4">
        <v>0</v>
      </c>
      <c r="P194" s="4"/>
      <c r="Q194" s="4"/>
      <c r="R194" s="4"/>
      <c r="S194" s="4"/>
      <c r="T194" s="4"/>
      <c r="U194" s="4"/>
      <c r="V194" s="4"/>
      <c r="W194" s="4"/>
    </row>
    <row r="195" spans="1:206" x14ac:dyDescent="0.2">
      <c r="A195" s="4">
        <v>50</v>
      </c>
      <c r="B195" s="4">
        <v>0</v>
      </c>
      <c r="C195" s="4">
        <v>0</v>
      </c>
      <c r="D195" s="4">
        <v>1</v>
      </c>
      <c r="E195" s="4">
        <v>233</v>
      </c>
      <c r="F195" s="4">
        <f>ROUND(Source!BD170,O195)</f>
        <v>0</v>
      </c>
      <c r="G195" s="4" t="s">
        <v>166</v>
      </c>
      <c r="H195" s="4" t="s">
        <v>167</v>
      </c>
      <c r="I195" s="4"/>
      <c r="J195" s="4"/>
      <c r="K195" s="4">
        <v>233</v>
      </c>
      <c r="L195" s="4">
        <v>24</v>
      </c>
      <c r="M195" s="4">
        <v>3</v>
      </c>
      <c r="N195" s="4" t="s">
        <v>2</v>
      </c>
      <c r="O195" s="4">
        <v>0</v>
      </c>
      <c r="P195" s="4"/>
      <c r="Q195" s="4"/>
      <c r="R195" s="4"/>
      <c r="S195" s="4"/>
      <c r="T195" s="4"/>
      <c r="U195" s="4"/>
      <c r="V195" s="4"/>
      <c r="W195" s="4"/>
    </row>
    <row r="196" spans="1:206" x14ac:dyDescent="0.2">
      <c r="A196" s="4">
        <v>50</v>
      </c>
      <c r="B196" s="4">
        <v>0</v>
      </c>
      <c r="C196" s="4">
        <v>0</v>
      </c>
      <c r="D196" s="4">
        <v>1</v>
      </c>
      <c r="E196" s="4">
        <v>210</v>
      </c>
      <c r="F196" s="4">
        <f>ROUND(Source!X170,O196)</f>
        <v>117</v>
      </c>
      <c r="G196" s="4" t="s">
        <v>168</v>
      </c>
      <c r="H196" s="4" t="s">
        <v>169</v>
      </c>
      <c r="I196" s="4"/>
      <c r="J196" s="4"/>
      <c r="K196" s="4">
        <v>210</v>
      </c>
      <c r="L196" s="4">
        <v>25</v>
      </c>
      <c r="M196" s="4">
        <v>3</v>
      </c>
      <c r="N196" s="4" t="s">
        <v>2</v>
      </c>
      <c r="O196" s="4">
        <v>0</v>
      </c>
      <c r="P196" s="4"/>
      <c r="Q196" s="4"/>
      <c r="R196" s="4"/>
      <c r="S196" s="4"/>
      <c r="T196" s="4"/>
      <c r="U196" s="4"/>
      <c r="V196" s="4"/>
      <c r="W196" s="4"/>
    </row>
    <row r="197" spans="1:206" x14ac:dyDescent="0.2">
      <c r="A197" s="4">
        <v>50</v>
      </c>
      <c r="B197" s="4">
        <v>0</v>
      </c>
      <c r="C197" s="4">
        <v>0</v>
      </c>
      <c r="D197" s="4">
        <v>1</v>
      </c>
      <c r="E197" s="4">
        <v>211</v>
      </c>
      <c r="F197" s="4">
        <f>ROUND(Source!Y170,O197)</f>
        <v>55</v>
      </c>
      <c r="G197" s="4" t="s">
        <v>170</v>
      </c>
      <c r="H197" s="4" t="s">
        <v>171</v>
      </c>
      <c r="I197" s="4"/>
      <c r="J197" s="4"/>
      <c r="K197" s="4">
        <v>211</v>
      </c>
      <c r="L197" s="4">
        <v>26</v>
      </c>
      <c r="M197" s="4">
        <v>3</v>
      </c>
      <c r="N197" s="4" t="s">
        <v>2</v>
      </c>
      <c r="O197" s="4">
        <v>0</v>
      </c>
      <c r="P197" s="4"/>
      <c r="Q197" s="4"/>
      <c r="R197" s="4"/>
      <c r="S197" s="4"/>
      <c r="T197" s="4"/>
      <c r="U197" s="4"/>
      <c r="V197" s="4"/>
      <c r="W197" s="4"/>
    </row>
    <row r="198" spans="1:206" x14ac:dyDescent="0.2">
      <c r="A198" s="4">
        <v>50</v>
      </c>
      <c r="B198" s="4">
        <v>0</v>
      </c>
      <c r="C198" s="4">
        <v>0</v>
      </c>
      <c r="D198" s="4">
        <v>1</v>
      </c>
      <c r="E198" s="4">
        <v>224</v>
      </c>
      <c r="F198" s="4">
        <f>ROUND(Source!AR170,O198)</f>
        <v>569</v>
      </c>
      <c r="G198" s="4" t="s">
        <v>172</v>
      </c>
      <c r="H198" s="4" t="s">
        <v>173</v>
      </c>
      <c r="I198" s="4"/>
      <c r="J198" s="4"/>
      <c r="K198" s="4">
        <v>224</v>
      </c>
      <c r="L198" s="4">
        <v>27</v>
      </c>
      <c r="M198" s="4">
        <v>3</v>
      </c>
      <c r="N198" s="4" t="s">
        <v>2</v>
      </c>
      <c r="O198" s="4">
        <v>0</v>
      </c>
      <c r="P198" s="4"/>
      <c r="Q198" s="4"/>
      <c r="R198" s="4"/>
      <c r="S198" s="4"/>
      <c r="T198" s="4"/>
      <c r="U198" s="4"/>
      <c r="V198" s="4"/>
      <c r="W198" s="4"/>
    </row>
    <row r="200" spans="1:206" x14ac:dyDescent="0.2">
      <c r="A200" s="2">
        <v>51</v>
      </c>
      <c r="B200" s="2">
        <f>B20</f>
        <v>1</v>
      </c>
      <c r="C200" s="2">
        <f>A20</f>
        <v>3</v>
      </c>
      <c r="D200" s="2">
        <f>ROW(A20)</f>
        <v>20</v>
      </c>
      <c r="E200" s="2"/>
      <c r="F200" s="2" t="str">
        <f>IF(F20&lt;&gt;"",F20,"")</f>
        <v/>
      </c>
      <c r="G200" s="2" t="str">
        <f>IF(G20&lt;&gt;"",G20,"")</f>
        <v>Новая локальная смета</v>
      </c>
      <c r="H200" s="2">
        <v>0</v>
      </c>
      <c r="I200" s="2"/>
      <c r="J200" s="2"/>
      <c r="K200" s="2"/>
      <c r="L200" s="2"/>
      <c r="M200" s="2"/>
      <c r="N200" s="2"/>
      <c r="O200" s="2">
        <f t="shared" ref="O200:T200" si="155">ROUND(O48+O89+O130+O170+AB200,0)</f>
        <v>16325</v>
      </c>
      <c r="P200" s="2">
        <f t="shared" si="155"/>
        <v>14104</v>
      </c>
      <c r="Q200" s="2">
        <f t="shared" si="155"/>
        <v>375</v>
      </c>
      <c r="R200" s="2">
        <f t="shared" si="155"/>
        <v>35</v>
      </c>
      <c r="S200" s="2">
        <f t="shared" si="155"/>
        <v>1846</v>
      </c>
      <c r="T200" s="2">
        <f t="shared" si="155"/>
        <v>0</v>
      </c>
      <c r="U200" s="2">
        <f>U48+U89+U130+U170+AH200</f>
        <v>212.77353589999996</v>
      </c>
      <c r="V200" s="2">
        <f>V48+V89+V130+V170+AI200</f>
        <v>3.0041785999999999</v>
      </c>
      <c r="W200" s="2">
        <f>ROUND(W48+W89+W130+W170+AJ200,0)</f>
        <v>0</v>
      </c>
      <c r="X200" s="2">
        <f>ROUND(X48+X89+X130+X170+AK200,0)</f>
        <v>1904</v>
      </c>
      <c r="Y200" s="2">
        <f>ROUND(Y48+Y89+Y130+Y170+AL200,0)</f>
        <v>945</v>
      </c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>
        <f t="shared" ref="AO200:BD200" si="156">ROUND(AO48+AO89+AO130+AO170+BX200,0)</f>
        <v>0</v>
      </c>
      <c r="AP200" s="2">
        <f t="shared" si="156"/>
        <v>0</v>
      </c>
      <c r="AQ200" s="2">
        <f t="shared" si="156"/>
        <v>0</v>
      </c>
      <c r="AR200" s="2">
        <f t="shared" si="156"/>
        <v>19174</v>
      </c>
      <c r="AS200" s="2">
        <f t="shared" si="156"/>
        <v>18958</v>
      </c>
      <c r="AT200" s="2">
        <f t="shared" si="156"/>
        <v>216</v>
      </c>
      <c r="AU200" s="2">
        <f t="shared" si="156"/>
        <v>0</v>
      </c>
      <c r="AV200" s="2">
        <f t="shared" si="156"/>
        <v>14104</v>
      </c>
      <c r="AW200" s="2">
        <f t="shared" si="156"/>
        <v>14104</v>
      </c>
      <c r="AX200" s="2">
        <f t="shared" si="156"/>
        <v>0</v>
      </c>
      <c r="AY200" s="2">
        <f t="shared" si="156"/>
        <v>14104</v>
      </c>
      <c r="AZ200" s="2">
        <f t="shared" si="156"/>
        <v>0</v>
      </c>
      <c r="BA200" s="2">
        <f t="shared" si="156"/>
        <v>0</v>
      </c>
      <c r="BB200" s="2">
        <f t="shared" si="156"/>
        <v>0</v>
      </c>
      <c r="BC200" s="2">
        <f t="shared" si="156"/>
        <v>0</v>
      </c>
      <c r="BD200" s="2">
        <f t="shared" si="156"/>
        <v>0</v>
      </c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>
        <v>0</v>
      </c>
    </row>
    <row r="202" spans="1:206" x14ac:dyDescent="0.2">
      <c r="A202" s="4">
        <v>50</v>
      </c>
      <c r="B202" s="4">
        <v>0</v>
      </c>
      <c r="C202" s="4">
        <v>0</v>
      </c>
      <c r="D202" s="4">
        <v>1</v>
      </c>
      <c r="E202" s="4">
        <v>201</v>
      </c>
      <c r="F202" s="4">
        <f>ROUND(Source!O200,O202)</f>
        <v>16325</v>
      </c>
      <c r="G202" s="4" t="s">
        <v>120</v>
      </c>
      <c r="H202" s="4" t="s">
        <v>121</v>
      </c>
      <c r="I202" s="4"/>
      <c r="J202" s="4"/>
      <c r="K202" s="4">
        <v>201</v>
      </c>
      <c r="L202" s="4">
        <v>1</v>
      </c>
      <c r="M202" s="4">
        <v>3</v>
      </c>
      <c r="N202" s="4" t="s">
        <v>2</v>
      </c>
      <c r="O202" s="4">
        <v>0</v>
      </c>
      <c r="P202" s="4"/>
      <c r="Q202" s="4"/>
      <c r="R202" s="4"/>
      <c r="S202" s="4"/>
      <c r="T202" s="4"/>
      <c r="U202" s="4"/>
      <c r="V202" s="4"/>
      <c r="W202" s="4"/>
    </row>
    <row r="203" spans="1:206" x14ac:dyDescent="0.2">
      <c r="A203" s="4">
        <v>50</v>
      </c>
      <c r="B203" s="4">
        <v>0</v>
      </c>
      <c r="C203" s="4">
        <v>0</v>
      </c>
      <c r="D203" s="4">
        <v>1</v>
      </c>
      <c r="E203" s="4">
        <v>202</v>
      </c>
      <c r="F203" s="4">
        <f>ROUND(Source!P200,O203)</f>
        <v>14104</v>
      </c>
      <c r="G203" s="4" t="s">
        <v>122</v>
      </c>
      <c r="H203" s="4" t="s">
        <v>123</v>
      </c>
      <c r="I203" s="4"/>
      <c r="J203" s="4"/>
      <c r="K203" s="4">
        <v>202</v>
      </c>
      <c r="L203" s="4">
        <v>2</v>
      </c>
      <c r="M203" s="4">
        <v>3</v>
      </c>
      <c r="N203" s="4" t="s">
        <v>2</v>
      </c>
      <c r="O203" s="4">
        <v>0</v>
      </c>
      <c r="P203" s="4"/>
      <c r="Q203" s="4"/>
      <c r="R203" s="4"/>
      <c r="S203" s="4"/>
      <c r="T203" s="4"/>
      <c r="U203" s="4"/>
      <c r="V203" s="4"/>
      <c r="W203" s="4"/>
    </row>
    <row r="204" spans="1:206" x14ac:dyDescent="0.2">
      <c r="A204" s="4">
        <v>50</v>
      </c>
      <c r="B204" s="4">
        <v>0</v>
      </c>
      <c r="C204" s="4">
        <v>0</v>
      </c>
      <c r="D204" s="4">
        <v>1</v>
      </c>
      <c r="E204" s="4">
        <v>222</v>
      </c>
      <c r="F204" s="4">
        <f>ROUND(Source!AO200,O204)</f>
        <v>0</v>
      </c>
      <c r="G204" s="4" t="s">
        <v>124</v>
      </c>
      <c r="H204" s="4" t="s">
        <v>125</v>
      </c>
      <c r="I204" s="4"/>
      <c r="J204" s="4"/>
      <c r="K204" s="4">
        <v>222</v>
      </c>
      <c r="L204" s="4">
        <v>3</v>
      </c>
      <c r="M204" s="4">
        <v>3</v>
      </c>
      <c r="N204" s="4" t="s">
        <v>2</v>
      </c>
      <c r="O204" s="4">
        <v>0</v>
      </c>
      <c r="P204" s="4"/>
      <c r="Q204" s="4"/>
      <c r="R204" s="4"/>
      <c r="S204" s="4"/>
      <c r="T204" s="4"/>
      <c r="U204" s="4"/>
      <c r="V204" s="4"/>
      <c r="W204" s="4"/>
    </row>
    <row r="205" spans="1:206" x14ac:dyDescent="0.2">
      <c r="A205" s="4">
        <v>50</v>
      </c>
      <c r="B205" s="4">
        <v>0</v>
      </c>
      <c r="C205" s="4">
        <v>0</v>
      </c>
      <c r="D205" s="4">
        <v>1</v>
      </c>
      <c r="E205" s="4">
        <v>225</v>
      </c>
      <c r="F205" s="4">
        <f>ROUND(Source!AV200,O205)</f>
        <v>14104</v>
      </c>
      <c r="G205" s="4" t="s">
        <v>126</v>
      </c>
      <c r="H205" s="4" t="s">
        <v>127</v>
      </c>
      <c r="I205" s="4"/>
      <c r="J205" s="4"/>
      <c r="K205" s="4">
        <v>225</v>
      </c>
      <c r="L205" s="4">
        <v>4</v>
      </c>
      <c r="M205" s="4">
        <v>3</v>
      </c>
      <c r="N205" s="4" t="s">
        <v>2</v>
      </c>
      <c r="O205" s="4">
        <v>0</v>
      </c>
      <c r="P205" s="4"/>
      <c r="Q205" s="4"/>
      <c r="R205" s="4"/>
      <c r="S205" s="4"/>
      <c r="T205" s="4"/>
      <c r="U205" s="4"/>
      <c r="V205" s="4"/>
      <c r="W205" s="4"/>
    </row>
    <row r="206" spans="1:206" x14ac:dyDescent="0.2">
      <c r="A206" s="4">
        <v>50</v>
      </c>
      <c r="B206" s="4">
        <v>0</v>
      </c>
      <c r="C206" s="4">
        <v>0</v>
      </c>
      <c r="D206" s="4">
        <v>1</v>
      </c>
      <c r="E206" s="4">
        <v>226</v>
      </c>
      <c r="F206" s="4">
        <f>ROUND(Source!AW200,O206)</f>
        <v>14104</v>
      </c>
      <c r="G206" s="4" t="s">
        <v>128</v>
      </c>
      <c r="H206" s="4" t="s">
        <v>129</v>
      </c>
      <c r="I206" s="4"/>
      <c r="J206" s="4"/>
      <c r="K206" s="4">
        <v>226</v>
      </c>
      <c r="L206" s="4">
        <v>5</v>
      </c>
      <c r="M206" s="4">
        <v>3</v>
      </c>
      <c r="N206" s="4" t="s">
        <v>2</v>
      </c>
      <c r="O206" s="4">
        <v>0</v>
      </c>
      <c r="P206" s="4"/>
      <c r="Q206" s="4"/>
      <c r="R206" s="4"/>
      <c r="S206" s="4"/>
      <c r="T206" s="4"/>
      <c r="U206" s="4"/>
      <c r="V206" s="4"/>
      <c r="W206" s="4"/>
    </row>
    <row r="207" spans="1:206" x14ac:dyDescent="0.2">
      <c r="A207" s="4">
        <v>50</v>
      </c>
      <c r="B207" s="4">
        <v>0</v>
      </c>
      <c r="C207" s="4">
        <v>0</v>
      </c>
      <c r="D207" s="4">
        <v>1</v>
      </c>
      <c r="E207" s="4">
        <v>227</v>
      </c>
      <c r="F207" s="4">
        <f>ROUND(Source!AX200,O207)</f>
        <v>0</v>
      </c>
      <c r="G207" s="4" t="s">
        <v>130</v>
      </c>
      <c r="H207" s="4" t="s">
        <v>131</v>
      </c>
      <c r="I207" s="4"/>
      <c r="J207" s="4"/>
      <c r="K207" s="4">
        <v>227</v>
      </c>
      <c r="L207" s="4">
        <v>6</v>
      </c>
      <c r="M207" s="4">
        <v>3</v>
      </c>
      <c r="N207" s="4" t="s">
        <v>2</v>
      </c>
      <c r="O207" s="4">
        <v>0</v>
      </c>
      <c r="P207" s="4"/>
      <c r="Q207" s="4"/>
      <c r="R207" s="4"/>
      <c r="S207" s="4"/>
      <c r="T207" s="4"/>
      <c r="U207" s="4"/>
      <c r="V207" s="4"/>
      <c r="W207" s="4"/>
    </row>
    <row r="208" spans="1:206" x14ac:dyDescent="0.2">
      <c r="A208" s="4">
        <v>50</v>
      </c>
      <c r="B208" s="4">
        <v>0</v>
      </c>
      <c r="C208" s="4">
        <v>0</v>
      </c>
      <c r="D208" s="4">
        <v>1</v>
      </c>
      <c r="E208" s="4">
        <v>228</v>
      </c>
      <c r="F208" s="4">
        <f>ROUND(Source!AY200,O208)</f>
        <v>14104</v>
      </c>
      <c r="G208" s="4" t="s">
        <v>132</v>
      </c>
      <c r="H208" s="4" t="s">
        <v>133</v>
      </c>
      <c r="I208" s="4"/>
      <c r="J208" s="4"/>
      <c r="K208" s="4">
        <v>228</v>
      </c>
      <c r="L208" s="4">
        <v>7</v>
      </c>
      <c r="M208" s="4">
        <v>3</v>
      </c>
      <c r="N208" s="4" t="s">
        <v>2</v>
      </c>
      <c r="O208" s="4">
        <v>0</v>
      </c>
      <c r="P208" s="4"/>
      <c r="Q208" s="4"/>
      <c r="R208" s="4"/>
      <c r="S208" s="4"/>
      <c r="T208" s="4"/>
      <c r="U208" s="4"/>
      <c r="V208" s="4"/>
      <c r="W208" s="4"/>
    </row>
    <row r="209" spans="1:23" x14ac:dyDescent="0.2">
      <c r="A209" s="4">
        <v>50</v>
      </c>
      <c r="B209" s="4">
        <v>0</v>
      </c>
      <c r="C209" s="4">
        <v>0</v>
      </c>
      <c r="D209" s="4">
        <v>1</v>
      </c>
      <c r="E209" s="4">
        <v>0</v>
      </c>
      <c r="F209" s="4">
        <f>ROUND(Source!AP200,O209)</f>
        <v>0</v>
      </c>
      <c r="G209" s="4" t="s">
        <v>134</v>
      </c>
      <c r="H209" s="4" t="s">
        <v>135</v>
      </c>
      <c r="I209" s="4"/>
      <c r="J209" s="4"/>
      <c r="K209" s="4">
        <v>216</v>
      </c>
      <c r="L209" s="4">
        <v>8</v>
      </c>
      <c r="M209" s="4">
        <v>3</v>
      </c>
      <c r="N209" s="4" t="s">
        <v>2</v>
      </c>
      <c r="O209" s="4">
        <v>0</v>
      </c>
      <c r="P209" s="4"/>
      <c r="Q209" s="4"/>
      <c r="R209" s="4"/>
      <c r="S209" s="4"/>
      <c r="T209" s="4"/>
      <c r="U209" s="4"/>
      <c r="V209" s="4"/>
      <c r="W209" s="4"/>
    </row>
    <row r="210" spans="1:23" x14ac:dyDescent="0.2">
      <c r="A210" s="4">
        <v>50</v>
      </c>
      <c r="B210" s="4">
        <v>0</v>
      </c>
      <c r="C210" s="4">
        <v>0</v>
      </c>
      <c r="D210" s="4">
        <v>1</v>
      </c>
      <c r="E210" s="4">
        <v>223</v>
      </c>
      <c r="F210" s="4">
        <f>ROUND(Source!AQ200,O210)</f>
        <v>0</v>
      </c>
      <c r="G210" s="4" t="s">
        <v>136</v>
      </c>
      <c r="H210" s="4" t="s">
        <v>137</v>
      </c>
      <c r="I210" s="4"/>
      <c r="J210" s="4"/>
      <c r="K210" s="4">
        <v>223</v>
      </c>
      <c r="L210" s="4">
        <v>9</v>
      </c>
      <c r="M210" s="4">
        <v>3</v>
      </c>
      <c r="N210" s="4" t="s">
        <v>2</v>
      </c>
      <c r="O210" s="4">
        <v>0</v>
      </c>
      <c r="P210" s="4"/>
      <c r="Q210" s="4"/>
      <c r="R210" s="4"/>
      <c r="S210" s="4"/>
      <c r="T210" s="4"/>
      <c r="U210" s="4"/>
      <c r="V210" s="4"/>
      <c r="W210" s="4"/>
    </row>
    <row r="211" spans="1:23" x14ac:dyDescent="0.2">
      <c r="A211" s="4">
        <v>50</v>
      </c>
      <c r="B211" s="4">
        <v>0</v>
      </c>
      <c r="C211" s="4">
        <v>0</v>
      </c>
      <c r="D211" s="4">
        <v>1</v>
      </c>
      <c r="E211" s="4">
        <v>229</v>
      </c>
      <c r="F211" s="4">
        <f>ROUND(Source!AZ200,O211)</f>
        <v>0</v>
      </c>
      <c r="G211" s="4" t="s">
        <v>138</v>
      </c>
      <c r="H211" s="4" t="s">
        <v>139</v>
      </c>
      <c r="I211" s="4"/>
      <c r="J211" s="4"/>
      <c r="K211" s="4">
        <v>229</v>
      </c>
      <c r="L211" s="4">
        <v>10</v>
      </c>
      <c r="M211" s="4">
        <v>3</v>
      </c>
      <c r="N211" s="4" t="s">
        <v>2</v>
      </c>
      <c r="O211" s="4">
        <v>0</v>
      </c>
      <c r="P211" s="4"/>
      <c r="Q211" s="4"/>
      <c r="R211" s="4"/>
      <c r="S211" s="4"/>
      <c r="T211" s="4"/>
      <c r="U211" s="4"/>
      <c r="V211" s="4"/>
      <c r="W211" s="4"/>
    </row>
    <row r="212" spans="1:23" x14ac:dyDescent="0.2">
      <c r="A212" s="4">
        <v>50</v>
      </c>
      <c r="B212" s="4">
        <v>0</v>
      </c>
      <c r="C212" s="4">
        <v>0</v>
      </c>
      <c r="D212" s="4">
        <v>1</v>
      </c>
      <c r="E212" s="4">
        <v>203</v>
      </c>
      <c r="F212" s="4">
        <f>ROUND(Source!Q200,O212)</f>
        <v>375</v>
      </c>
      <c r="G212" s="4" t="s">
        <v>140</v>
      </c>
      <c r="H212" s="4" t="s">
        <v>141</v>
      </c>
      <c r="I212" s="4"/>
      <c r="J212" s="4"/>
      <c r="K212" s="4">
        <v>203</v>
      </c>
      <c r="L212" s="4">
        <v>11</v>
      </c>
      <c r="M212" s="4">
        <v>3</v>
      </c>
      <c r="N212" s="4" t="s">
        <v>2</v>
      </c>
      <c r="O212" s="4">
        <v>0</v>
      </c>
      <c r="P212" s="4"/>
      <c r="Q212" s="4"/>
      <c r="R212" s="4"/>
      <c r="S212" s="4"/>
      <c r="T212" s="4"/>
      <c r="U212" s="4"/>
      <c r="V212" s="4"/>
      <c r="W212" s="4"/>
    </row>
    <row r="213" spans="1:23" x14ac:dyDescent="0.2">
      <c r="A213" s="4">
        <v>50</v>
      </c>
      <c r="B213" s="4">
        <v>0</v>
      </c>
      <c r="C213" s="4">
        <v>0</v>
      </c>
      <c r="D213" s="4">
        <v>1</v>
      </c>
      <c r="E213" s="4">
        <v>231</v>
      </c>
      <c r="F213" s="4">
        <f>ROUND(Source!BB200,O213)</f>
        <v>0</v>
      </c>
      <c r="G213" s="4" t="s">
        <v>142</v>
      </c>
      <c r="H213" s="4" t="s">
        <v>143</v>
      </c>
      <c r="I213" s="4"/>
      <c r="J213" s="4"/>
      <c r="K213" s="4">
        <v>231</v>
      </c>
      <c r="L213" s="4">
        <v>12</v>
      </c>
      <c r="M213" s="4">
        <v>3</v>
      </c>
      <c r="N213" s="4" t="s">
        <v>2</v>
      </c>
      <c r="O213" s="4">
        <v>0</v>
      </c>
      <c r="P213" s="4"/>
      <c r="Q213" s="4"/>
      <c r="R213" s="4"/>
      <c r="S213" s="4"/>
      <c r="T213" s="4"/>
      <c r="U213" s="4"/>
      <c r="V213" s="4"/>
      <c r="W213" s="4"/>
    </row>
    <row r="214" spans="1:23" x14ac:dyDescent="0.2">
      <c r="A214" s="4">
        <v>50</v>
      </c>
      <c r="B214" s="4">
        <v>0</v>
      </c>
      <c r="C214" s="4">
        <v>0</v>
      </c>
      <c r="D214" s="4">
        <v>1</v>
      </c>
      <c r="E214" s="4">
        <v>204</v>
      </c>
      <c r="F214" s="4">
        <f>ROUND(Source!R200,O214)</f>
        <v>35</v>
      </c>
      <c r="G214" s="4" t="s">
        <v>144</v>
      </c>
      <c r="H214" s="4" t="s">
        <v>145</v>
      </c>
      <c r="I214" s="4"/>
      <c r="J214" s="4"/>
      <c r="K214" s="4">
        <v>204</v>
      </c>
      <c r="L214" s="4">
        <v>13</v>
      </c>
      <c r="M214" s="4">
        <v>3</v>
      </c>
      <c r="N214" s="4" t="s">
        <v>2</v>
      </c>
      <c r="O214" s="4">
        <v>0</v>
      </c>
      <c r="P214" s="4"/>
      <c r="Q214" s="4"/>
      <c r="R214" s="4"/>
      <c r="S214" s="4"/>
      <c r="T214" s="4"/>
      <c r="U214" s="4"/>
      <c r="V214" s="4"/>
      <c r="W214" s="4"/>
    </row>
    <row r="215" spans="1:23" x14ac:dyDescent="0.2">
      <c r="A215" s="4">
        <v>50</v>
      </c>
      <c r="B215" s="4">
        <v>0</v>
      </c>
      <c r="C215" s="4">
        <v>0</v>
      </c>
      <c r="D215" s="4">
        <v>1</v>
      </c>
      <c r="E215" s="4">
        <v>0</v>
      </c>
      <c r="F215" s="4">
        <f>ROUND(Source!S200,O215)</f>
        <v>1846</v>
      </c>
      <c r="G215" s="4" t="s">
        <v>146</v>
      </c>
      <c r="H215" s="4" t="s">
        <v>147</v>
      </c>
      <c r="I215" s="4"/>
      <c r="J215" s="4"/>
      <c r="K215" s="4">
        <v>205</v>
      </c>
      <c r="L215" s="4">
        <v>14</v>
      </c>
      <c r="M215" s="4">
        <v>3</v>
      </c>
      <c r="N215" s="4" t="s">
        <v>2</v>
      </c>
      <c r="O215" s="4">
        <v>0</v>
      </c>
      <c r="P215" s="4"/>
      <c r="Q215" s="4"/>
      <c r="R215" s="4"/>
      <c r="S215" s="4"/>
      <c r="T215" s="4"/>
      <c r="U215" s="4"/>
      <c r="V215" s="4"/>
      <c r="W215" s="4"/>
    </row>
    <row r="216" spans="1:23" x14ac:dyDescent="0.2">
      <c r="A216" s="4">
        <v>50</v>
      </c>
      <c r="B216" s="4">
        <v>0</v>
      </c>
      <c r="C216" s="4">
        <v>0</v>
      </c>
      <c r="D216" s="4">
        <v>1</v>
      </c>
      <c r="E216" s="4">
        <v>232</v>
      </c>
      <c r="F216" s="4">
        <f>ROUND(Source!BC200,O216)</f>
        <v>0</v>
      </c>
      <c r="G216" s="4" t="s">
        <v>148</v>
      </c>
      <c r="H216" s="4" t="s">
        <v>149</v>
      </c>
      <c r="I216" s="4"/>
      <c r="J216" s="4"/>
      <c r="K216" s="4">
        <v>232</v>
      </c>
      <c r="L216" s="4">
        <v>15</v>
      </c>
      <c r="M216" s="4">
        <v>3</v>
      </c>
      <c r="N216" s="4" t="s">
        <v>2</v>
      </c>
      <c r="O216" s="4">
        <v>0</v>
      </c>
      <c r="P216" s="4"/>
      <c r="Q216" s="4"/>
      <c r="R216" s="4"/>
      <c r="S216" s="4"/>
      <c r="T216" s="4"/>
      <c r="U216" s="4"/>
      <c r="V216" s="4"/>
      <c r="W216" s="4"/>
    </row>
    <row r="217" spans="1:23" x14ac:dyDescent="0.2">
      <c r="A217" s="4">
        <v>50</v>
      </c>
      <c r="B217" s="4">
        <v>0</v>
      </c>
      <c r="C217" s="4">
        <v>0</v>
      </c>
      <c r="D217" s="4">
        <v>1</v>
      </c>
      <c r="E217" s="4">
        <v>0</v>
      </c>
      <c r="F217" s="4">
        <f>ROUND(Source!AS200,O217)</f>
        <v>18958</v>
      </c>
      <c r="G217" s="4" t="s">
        <v>150</v>
      </c>
      <c r="H217" s="4" t="s">
        <v>151</v>
      </c>
      <c r="I217" s="4"/>
      <c r="J217" s="4"/>
      <c r="K217" s="4">
        <v>214</v>
      </c>
      <c r="L217" s="4">
        <v>16</v>
      </c>
      <c r="M217" s="4">
        <v>3</v>
      </c>
      <c r="N217" s="4" t="s">
        <v>2</v>
      </c>
      <c r="O217" s="4">
        <v>0</v>
      </c>
      <c r="P217" s="4"/>
      <c r="Q217" s="4"/>
      <c r="R217" s="4"/>
      <c r="S217" s="4"/>
      <c r="T217" s="4"/>
      <c r="U217" s="4"/>
      <c r="V217" s="4"/>
      <c r="W217" s="4"/>
    </row>
    <row r="218" spans="1:23" x14ac:dyDescent="0.2">
      <c r="A218" s="4">
        <v>50</v>
      </c>
      <c r="B218" s="4">
        <v>0</v>
      </c>
      <c r="C218" s="4">
        <v>0</v>
      </c>
      <c r="D218" s="4">
        <v>1</v>
      </c>
      <c r="E218" s="4">
        <v>0</v>
      </c>
      <c r="F218" s="4">
        <f>ROUND(Source!AT200,O218)</f>
        <v>216</v>
      </c>
      <c r="G218" s="4" t="s">
        <v>152</v>
      </c>
      <c r="H218" s="4" t="s">
        <v>153</v>
      </c>
      <c r="I218" s="4"/>
      <c r="J218" s="4"/>
      <c r="K218" s="4">
        <v>215</v>
      </c>
      <c r="L218" s="4">
        <v>17</v>
      </c>
      <c r="M218" s="4">
        <v>3</v>
      </c>
      <c r="N218" s="4" t="s">
        <v>2</v>
      </c>
      <c r="O218" s="4">
        <v>0</v>
      </c>
      <c r="P218" s="4"/>
      <c r="Q218" s="4"/>
      <c r="R218" s="4"/>
      <c r="S218" s="4"/>
      <c r="T218" s="4"/>
      <c r="U218" s="4"/>
      <c r="V218" s="4"/>
      <c r="W218" s="4"/>
    </row>
    <row r="219" spans="1:23" x14ac:dyDescent="0.2">
      <c r="A219" s="4">
        <v>50</v>
      </c>
      <c r="B219" s="4">
        <v>0</v>
      </c>
      <c r="C219" s="4">
        <v>0</v>
      </c>
      <c r="D219" s="4">
        <v>1</v>
      </c>
      <c r="E219" s="4">
        <v>0</v>
      </c>
      <c r="F219" s="4">
        <f>ROUND(Source!AU200,O219)</f>
        <v>0</v>
      </c>
      <c r="G219" s="4" t="s">
        <v>154</v>
      </c>
      <c r="H219" s="4" t="s">
        <v>155</v>
      </c>
      <c r="I219" s="4"/>
      <c r="J219" s="4"/>
      <c r="K219" s="4">
        <v>217</v>
      </c>
      <c r="L219" s="4">
        <v>18</v>
      </c>
      <c r="M219" s="4">
        <v>3</v>
      </c>
      <c r="N219" s="4" t="s">
        <v>2</v>
      </c>
      <c r="O219" s="4">
        <v>0</v>
      </c>
      <c r="P219" s="4"/>
      <c r="Q219" s="4"/>
      <c r="R219" s="4"/>
      <c r="S219" s="4"/>
      <c r="T219" s="4"/>
      <c r="U219" s="4"/>
      <c r="V219" s="4"/>
      <c r="W219" s="4"/>
    </row>
    <row r="220" spans="1:23" x14ac:dyDescent="0.2">
      <c r="A220" s="4">
        <v>50</v>
      </c>
      <c r="B220" s="4">
        <v>0</v>
      </c>
      <c r="C220" s="4">
        <v>0</v>
      </c>
      <c r="D220" s="4">
        <v>1</v>
      </c>
      <c r="E220" s="4">
        <v>230</v>
      </c>
      <c r="F220" s="4">
        <f>ROUND(Source!BA200,O220)</f>
        <v>0</v>
      </c>
      <c r="G220" s="4" t="s">
        <v>156</v>
      </c>
      <c r="H220" s="4" t="s">
        <v>157</v>
      </c>
      <c r="I220" s="4"/>
      <c r="J220" s="4"/>
      <c r="K220" s="4">
        <v>230</v>
      </c>
      <c r="L220" s="4">
        <v>19</v>
      </c>
      <c r="M220" s="4">
        <v>3</v>
      </c>
      <c r="N220" s="4" t="s">
        <v>2</v>
      </c>
      <c r="O220" s="4">
        <v>0</v>
      </c>
      <c r="P220" s="4"/>
      <c r="Q220" s="4"/>
      <c r="R220" s="4"/>
      <c r="S220" s="4"/>
      <c r="T220" s="4"/>
      <c r="U220" s="4"/>
      <c r="V220" s="4"/>
      <c r="W220" s="4"/>
    </row>
    <row r="221" spans="1:23" x14ac:dyDescent="0.2">
      <c r="A221" s="4">
        <v>50</v>
      </c>
      <c r="B221" s="4">
        <v>0</v>
      </c>
      <c r="C221" s="4">
        <v>0</v>
      </c>
      <c r="D221" s="4">
        <v>1</v>
      </c>
      <c r="E221" s="4">
        <v>206</v>
      </c>
      <c r="F221" s="4">
        <f>ROUND(Source!T200,O221)</f>
        <v>0</v>
      </c>
      <c r="G221" s="4" t="s">
        <v>158</v>
      </c>
      <c r="H221" s="4" t="s">
        <v>159</v>
      </c>
      <c r="I221" s="4"/>
      <c r="J221" s="4"/>
      <c r="K221" s="4">
        <v>206</v>
      </c>
      <c r="L221" s="4">
        <v>20</v>
      </c>
      <c r="M221" s="4">
        <v>3</v>
      </c>
      <c r="N221" s="4" t="s">
        <v>2</v>
      </c>
      <c r="O221" s="4">
        <v>0</v>
      </c>
      <c r="P221" s="4"/>
      <c r="Q221" s="4"/>
      <c r="R221" s="4"/>
      <c r="S221" s="4"/>
      <c r="T221" s="4"/>
      <c r="U221" s="4"/>
      <c r="V221" s="4"/>
      <c r="W221" s="4"/>
    </row>
    <row r="222" spans="1:23" x14ac:dyDescent="0.2">
      <c r="A222" s="4">
        <v>50</v>
      </c>
      <c r="B222" s="4">
        <v>0</v>
      </c>
      <c r="C222" s="4">
        <v>0</v>
      </c>
      <c r="D222" s="4">
        <v>1</v>
      </c>
      <c r="E222" s="4">
        <v>0</v>
      </c>
      <c r="F222" s="4">
        <f>Source!U200</f>
        <v>212.77353589999996</v>
      </c>
      <c r="G222" s="4" t="s">
        <v>160</v>
      </c>
      <c r="H222" s="4" t="s">
        <v>161</v>
      </c>
      <c r="I222" s="4"/>
      <c r="J222" s="4"/>
      <c r="K222" s="4">
        <v>207</v>
      </c>
      <c r="L222" s="4">
        <v>21</v>
      </c>
      <c r="M222" s="4">
        <v>3</v>
      </c>
      <c r="N222" s="4" t="s">
        <v>2</v>
      </c>
      <c r="O222" s="4">
        <v>-1</v>
      </c>
      <c r="P222" s="4"/>
      <c r="Q222" s="4"/>
      <c r="R222" s="4"/>
      <c r="S222" s="4"/>
      <c r="T222" s="4"/>
      <c r="U222" s="4"/>
      <c r="V222" s="4"/>
      <c r="W222" s="4"/>
    </row>
    <row r="223" spans="1:23" x14ac:dyDescent="0.2">
      <c r="A223" s="4">
        <v>50</v>
      </c>
      <c r="B223" s="4">
        <v>0</v>
      </c>
      <c r="C223" s="4">
        <v>0</v>
      </c>
      <c r="D223" s="4">
        <v>1</v>
      </c>
      <c r="E223" s="4">
        <v>208</v>
      </c>
      <c r="F223" s="4">
        <f>Source!V200</f>
        <v>3.0041785999999999</v>
      </c>
      <c r="G223" s="4" t="s">
        <v>162</v>
      </c>
      <c r="H223" s="4" t="s">
        <v>163</v>
      </c>
      <c r="I223" s="4"/>
      <c r="J223" s="4"/>
      <c r="K223" s="4">
        <v>208</v>
      </c>
      <c r="L223" s="4">
        <v>22</v>
      </c>
      <c r="M223" s="4">
        <v>3</v>
      </c>
      <c r="N223" s="4" t="s">
        <v>2</v>
      </c>
      <c r="O223" s="4">
        <v>-1</v>
      </c>
      <c r="P223" s="4"/>
      <c r="Q223" s="4"/>
      <c r="R223" s="4"/>
      <c r="S223" s="4"/>
      <c r="T223" s="4"/>
      <c r="U223" s="4"/>
      <c r="V223" s="4"/>
      <c r="W223" s="4"/>
    </row>
    <row r="224" spans="1:23" x14ac:dyDescent="0.2">
      <c r="A224" s="4">
        <v>50</v>
      </c>
      <c r="B224" s="4">
        <v>0</v>
      </c>
      <c r="C224" s="4">
        <v>0</v>
      </c>
      <c r="D224" s="4">
        <v>1</v>
      </c>
      <c r="E224" s="4">
        <v>209</v>
      </c>
      <c r="F224" s="4">
        <f>ROUND(Source!W200,O224)</f>
        <v>0</v>
      </c>
      <c r="G224" s="4" t="s">
        <v>164</v>
      </c>
      <c r="H224" s="4" t="s">
        <v>165</v>
      </c>
      <c r="I224" s="4"/>
      <c r="J224" s="4"/>
      <c r="K224" s="4">
        <v>209</v>
      </c>
      <c r="L224" s="4">
        <v>23</v>
      </c>
      <c r="M224" s="4">
        <v>3</v>
      </c>
      <c r="N224" s="4" t="s">
        <v>2</v>
      </c>
      <c r="O224" s="4">
        <v>0</v>
      </c>
      <c r="P224" s="4"/>
      <c r="Q224" s="4"/>
      <c r="R224" s="4"/>
      <c r="S224" s="4"/>
      <c r="T224" s="4"/>
      <c r="U224" s="4"/>
      <c r="V224" s="4"/>
      <c r="W224" s="4"/>
    </row>
    <row r="225" spans="1:23" x14ac:dyDescent="0.2">
      <c r="A225" s="4">
        <v>50</v>
      </c>
      <c r="B225" s="4">
        <v>0</v>
      </c>
      <c r="C225" s="4">
        <v>0</v>
      </c>
      <c r="D225" s="4">
        <v>1</v>
      </c>
      <c r="E225" s="4">
        <v>233</v>
      </c>
      <c r="F225" s="4">
        <f>ROUND(Source!BD200,O225)</f>
        <v>0</v>
      </c>
      <c r="G225" s="4" t="s">
        <v>166</v>
      </c>
      <c r="H225" s="4" t="s">
        <v>167</v>
      </c>
      <c r="I225" s="4"/>
      <c r="J225" s="4"/>
      <c r="K225" s="4">
        <v>233</v>
      </c>
      <c r="L225" s="4">
        <v>24</v>
      </c>
      <c r="M225" s="4">
        <v>3</v>
      </c>
      <c r="N225" s="4" t="s">
        <v>2</v>
      </c>
      <c r="O225" s="4">
        <v>0</v>
      </c>
      <c r="P225" s="4"/>
      <c r="Q225" s="4"/>
      <c r="R225" s="4"/>
      <c r="S225" s="4"/>
      <c r="T225" s="4"/>
      <c r="U225" s="4"/>
      <c r="V225" s="4"/>
      <c r="W225" s="4"/>
    </row>
    <row r="226" spans="1:23" x14ac:dyDescent="0.2">
      <c r="A226" s="4">
        <v>50</v>
      </c>
      <c r="B226" s="4">
        <v>0</v>
      </c>
      <c r="C226" s="4">
        <v>0</v>
      </c>
      <c r="D226" s="4">
        <v>1</v>
      </c>
      <c r="E226" s="4">
        <v>210</v>
      </c>
      <c r="F226" s="4">
        <f>ROUND(Source!X200,O226)</f>
        <v>1904</v>
      </c>
      <c r="G226" s="4" t="s">
        <v>168</v>
      </c>
      <c r="H226" s="4" t="s">
        <v>169</v>
      </c>
      <c r="I226" s="4"/>
      <c r="J226" s="4"/>
      <c r="K226" s="4">
        <v>210</v>
      </c>
      <c r="L226" s="4">
        <v>25</v>
      </c>
      <c r="M226" s="4">
        <v>3</v>
      </c>
      <c r="N226" s="4" t="s">
        <v>2</v>
      </c>
      <c r="O226" s="4">
        <v>0</v>
      </c>
      <c r="P226" s="4"/>
      <c r="Q226" s="4"/>
      <c r="R226" s="4"/>
      <c r="S226" s="4"/>
      <c r="T226" s="4"/>
      <c r="U226" s="4"/>
      <c r="V226" s="4"/>
      <c r="W226" s="4"/>
    </row>
    <row r="227" spans="1:23" x14ac:dyDescent="0.2">
      <c r="A227" s="4">
        <v>50</v>
      </c>
      <c r="B227" s="4">
        <v>0</v>
      </c>
      <c r="C227" s="4">
        <v>0</v>
      </c>
      <c r="D227" s="4">
        <v>1</v>
      </c>
      <c r="E227" s="4">
        <v>211</v>
      </c>
      <c r="F227" s="4">
        <f>ROUND(Source!Y200,O227)</f>
        <v>945</v>
      </c>
      <c r="G227" s="4" t="s">
        <v>170</v>
      </c>
      <c r="H227" s="4" t="s">
        <v>171</v>
      </c>
      <c r="I227" s="4"/>
      <c r="J227" s="4"/>
      <c r="K227" s="4">
        <v>211</v>
      </c>
      <c r="L227" s="4">
        <v>26</v>
      </c>
      <c r="M227" s="4">
        <v>3</v>
      </c>
      <c r="N227" s="4" t="s">
        <v>2</v>
      </c>
      <c r="O227" s="4">
        <v>0</v>
      </c>
      <c r="P227" s="4"/>
      <c r="Q227" s="4"/>
      <c r="R227" s="4"/>
      <c r="S227" s="4"/>
      <c r="T227" s="4"/>
      <c r="U227" s="4"/>
      <c r="V227" s="4"/>
      <c r="W227" s="4"/>
    </row>
    <row r="228" spans="1:23" x14ac:dyDescent="0.2">
      <c r="A228" s="4">
        <v>50</v>
      </c>
      <c r="B228" s="4">
        <v>0</v>
      </c>
      <c r="C228" s="4">
        <v>0</v>
      </c>
      <c r="D228" s="4">
        <v>1</v>
      </c>
      <c r="E228" s="4">
        <v>224</v>
      </c>
      <c r="F228" s="4">
        <f>ROUND(Source!AR200,O228)</f>
        <v>19174</v>
      </c>
      <c r="G228" s="4" t="s">
        <v>172</v>
      </c>
      <c r="H228" s="4" t="s">
        <v>173</v>
      </c>
      <c r="I228" s="4"/>
      <c r="J228" s="4"/>
      <c r="K228" s="4">
        <v>224</v>
      </c>
      <c r="L228" s="4">
        <v>27</v>
      </c>
      <c r="M228" s="4">
        <v>3</v>
      </c>
      <c r="N228" s="4" t="s">
        <v>2</v>
      </c>
      <c r="O228" s="4">
        <v>0</v>
      </c>
      <c r="P228" s="4"/>
      <c r="Q228" s="4"/>
      <c r="R228" s="4"/>
      <c r="S228" s="4"/>
      <c r="T228" s="4"/>
      <c r="U228" s="4"/>
      <c r="V228" s="4"/>
      <c r="W228" s="4"/>
    </row>
    <row r="229" spans="1:23" x14ac:dyDescent="0.2">
      <c r="A229" s="4">
        <v>50</v>
      </c>
      <c r="B229" s="4">
        <v>0</v>
      </c>
      <c r="C229" s="4">
        <v>0</v>
      </c>
      <c r="D229" s="4">
        <v>2</v>
      </c>
      <c r="E229" s="4">
        <v>0</v>
      </c>
      <c r="F229" s="4">
        <v>0</v>
      </c>
      <c r="G229" s="4" t="s">
        <v>269</v>
      </c>
      <c r="H229" s="4" t="s">
        <v>270</v>
      </c>
      <c r="I229" s="4"/>
      <c r="J229" s="4"/>
      <c r="K229" s="4">
        <v>212</v>
      </c>
      <c r="L229" s="4">
        <v>28</v>
      </c>
      <c r="M229" s="4">
        <v>1</v>
      </c>
      <c r="N229" s="4" t="s">
        <v>2</v>
      </c>
      <c r="O229" s="4">
        <v>0</v>
      </c>
      <c r="P229" s="4"/>
      <c r="Q229" s="4"/>
      <c r="R229" s="4"/>
      <c r="S229" s="4"/>
      <c r="T229" s="4"/>
      <c r="U229" s="4"/>
      <c r="V229" s="4"/>
      <c r="W229" s="4"/>
    </row>
    <row r="230" spans="1:23" x14ac:dyDescent="0.2">
      <c r="A230" s="4">
        <v>50</v>
      </c>
      <c r="B230" s="4">
        <v>0</v>
      </c>
      <c r="C230" s="4">
        <v>0</v>
      </c>
      <c r="D230" s="4">
        <v>2</v>
      </c>
      <c r="E230" s="4">
        <v>0</v>
      </c>
      <c r="F230" s="4">
        <v>0</v>
      </c>
      <c r="G230" s="4" t="s">
        <v>271</v>
      </c>
      <c r="H230" s="4" t="s">
        <v>272</v>
      </c>
      <c r="I230" s="4"/>
      <c r="J230" s="4"/>
      <c r="K230" s="4">
        <v>212</v>
      </c>
      <c r="L230" s="4">
        <v>29</v>
      </c>
      <c r="M230" s="4">
        <v>1</v>
      </c>
      <c r="N230" s="4" t="s">
        <v>273</v>
      </c>
      <c r="O230" s="4">
        <v>0</v>
      </c>
      <c r="P230" s="4"/>
      <c r="Q230" s="4"/>
      <c r="R230" s="4"/>
      <c r="S230" s="4"/>
      <c r="T230" s="4"/>
      <c r="U230" s="4"/>
      <c r="V230" s="4"/>
      <c r="W230" s="4"/>
    </row>
    <row r="231" spans="1:23" x14ac:dyDescent="0.2">
      <c r="A231" s="4">
        <v>50</v>
      </c>
      <c r="B231" s="4">
        <v>0</v>
      </c>
      <c r="C231" s="4">
        <v>0</v>
      </c>
      <c r="D231" s="4">
        <v>2</v>
      </c>
      <c r="E231" s="4">
        <v>0</v>
      </c>
      <c r="F231" s="4">
        <v>0</v>
      </c>
      <c r="G231" s="4" t="s">
        <v>274</v>
      </c>
      <c r="H231" s="4" t="s">
        <v>275</v>
      </c>
      <c r="I231" s="4"/>
      <c r="J231" s="4"/>
      <c r="K231" s="4">
        <v>212</v>
      </c>
      <c r="L231" s="4">
        <v>30</v>
      </c>
      <c r="M231" s="4">
        <v>1</v>
      </c>
      <c r="N231" s="4" t="s">
        <v>276</v>
      </c>
      <c r="O231" s="4">
        <v>0</v>
      </c>
      <c r="P231" s="4"/>
      <c r="Q231" s="4"/>
      <c r="R231" s="4"/>
      <c r="S231" s="4"/>
      <c r="T231" s="4"/>
      <c r="U231" s="4"/>
      <c r="V231" s="4"/>
      <c r="W231" s="4"/>
    </row>
    <row r="232" spans="1:23" x14ac:dyDescent="0.2">
      <c r="A232" s="4">
        <v>50</v>
      </c>
      <c r="B232" s="4">
        <v>0</v>
      </c>
      <c r="C232" s="4">
        <v>0</v>
      </c>
      <c r="D232" s="4">
        <v>2</v>
      </c>
      <c r="E232" s="4">
        <v>0</v>
      </c>
      <c r="F232" s="4">
        <v>0</v>
      </c>
      <c r="G232" s="4" t="s">
        <v>277</v>
      </c>
      <c r="H232" s="4" t="s">
        <v>278</v>
      </c>
      <c r="I232" s="4"/>
      <c r="J232" s="4"/>
      <c r="K232" s="4">
        <v>212</v>
      </c>
      <c r="L232" s="4">
        <v>31</v>
      </c>
      <c r="M232" s="4">
        <v>1</v>
      </c>
      <c r="N232" s="4" t="s">
        <v>273</v>
      </c>
      <c r="O232" s="4">
        <v>0</v>
      </c>
      <c r="P232" s="4"/>
      <c r="Q232" s="4"/>
      <c r="R232" s="4"/>
      <c r="S232" s="4"/>
      <c r="T232" s="4"/>
      <c r="U232" s="4"/>
      <c r="V232" s="4"/>
      <c r="W232" s="4"/>
    </row>
    <row r="233" spans="1:23" x14ac:dyDescent="0.2">
      <c r="A233" s="4">
        <v>50</v>
      </c>
      <c r="B233" s="4">
        <v>0</v>
      </c>
      <c r="C233" s="4">
        <v>0</v>
      </c>
      <c r="D233" s="4">
        <v>2</v>
      </c>
      <c r="E233" s="4">
        <v>0</v>
      </c>
      <c r="F233" s="4">
        <v>0</v>
      </c>
      <c r="G233" s="4" t="s">
        <v>279</v>
      </c>
      <c r="H233" s="4" t="s">
        <v>280</v>
      </c>
      <c r="I233" s="4"/>
      <c r="J233" s="4"/>
      <c r="K233" s="4">
        <v>212</v>
      </c>
      <c r="L233" s="4">
        <v>32</v>
      </c>
      <c r="M233" s="4">
        <v>1</v>
      </c>
      <c r="N233" s="4" t="s">
        <v>281</v>
      </c>
      <c r="O233" s="4">
        <v>0</v>
      </c>
      <c r="P233" s="4"/>
      <c r="Q233" s="4"/>
      <c r="R233" s="4"/>
      <c r="S233" s="4"/>
      <c r="T233" s="4"/>
      <c r="U233" s="4"/>
      <c r="V233" s="4"/>
      <c r="W233" s="4"/>
    </row>
    <row r="234" spans="1:23" x14ac:dyDescent="0.2">
      <c r="A234" s="4">
        <v>50</v>
      </c>
      <c r="B234" s="4">
        <v>0</v>
      </c>
      <c r="C234" s="4">
        <v>0</v>
      </c>
      <c r="D234" s="4">
        <v>2</v>
      </c>
      <c r="E234" s="4">
        <v>0</v>
      </c>
      <c r="F234" s="4">
        <v>0</v>
      </c>
      <c r="G234" s="4" t="s">
        <v>282</v>
      </c>
      <c r="H234" s="4" t="s">
        <v>283</v>
      </c>
      <c r="I234" s="4"/>
      <c r="J234" s="4"/>
      <c r="K234" s="4">
        <v>212</v>
      </c>
      <c r="L234" s="4">
        <v>33</v>
      </c>
      <c r="M234" s="4">
        <v>1</v>
      </c>
      <c r="N234" s="4" t="s">
        <v>281</v>
      </c>
      <c r="O234" s="4">
        <v>0</v>
      </c>
      <c r="P234" s="4"/>
      <c r="Q234" s="4"/>
      <c r="R234" s="4"/>
      <c r="S234" s="4"/>
      <c r="T234" s="4"/>
      <c r="U234" s="4"/>
      <c r="V234" s="4"/>
      <c r="W234" s="4"/>
    </row>
    <row r="235" spans="1:23" x14ac:dyDescent="0.2">
      <c r="A235" s="4">
        <v>50</v>
      </c>
      <c r="B235" s="4">
        <v>0</v>
      </c>
      <c r="C235" s="4">
        <v>0</v>
      </c>
      <c r="D235" s="4">
        <v>2</v>
      </c>
      <c r="E235" s="4">
        <v>0</v>
      </c>
      <c r="F235" s="4">
        <v>0</v>
      </c>
      <c r="G235" s="4" t="s">
        <v>284</v>
      </c>
      <c r="H235" s="4" t="s">
        <v>285</v>
      </c>
      <c r="I235" s="4"/>
      <c r="J235" s="4"/>
      <c r="K235" s="4">
        <v>212</v>
      </c>
      <c r="L235" s="4">
        <v>34</v>
      </c>
      <c r="M235" s="4">
        <v>1</v>
      </c>
      <c r="N235" s="4" t="s">
        <v>286</v>
      </c>
      <c r="O235" s="4">
        <v>0</v>
      </c>
      <c r="P235" s="4"/>
      <c r="Q235" s="4"/>
      <c r="R235" s="4"/>
      <c r="S235" s="4"/>
      <c r="T235" s="4"/>
      <c r="U235" s="4"/>
      <c r="V235" s="4"/>
      <c r="W235" s="4"/>
    </row>
    <row r="236" spans="1:23" x14ac:dyDescent="0.2">
      <c r="A236" s="4">
        <v>50</v>
      </c>
      <c r="B236" s="4">
        <v>0</v>
      </c>
      <c r="C236" s="4">
        <v>0</v>
      </c>
      <c r="D236" s="4">
        <v>2</v>
      </c>
      <c r="E236" s="4">
        <v>0</v>
      </c>
      <c r="F236" s="4">
        <f>ROUND((ROUND(F229,0)+ROUND(F230,0)+ROUND(F231,0)+ROUND(F232,0)+ROUND(F233,0)+ROUND(F234,0)+ROUND(F235,0)),O236)</f>
        <v>0</v>
      </c>
      <c r="G236" s="4" t="s">
        <v>287</v>
      </c>
      <c r="H236" s="4" t="s">
        <v>288</v>
      </c>
      <c r="I236" s="4"/>
      <c r="J236" s="4"/>
      <c r="K236" s="4">
        <v>212</v>
      </c>
      <c r="L236" s="4">
        <v>35</v>
      </c>
      <c r="M236" s="4">
        <v>1</v>
      </c>
      <c r="N236" s="4" t="s">
        <v>289</v>
      </c>
      <c r="O236" s="4">
        <v>0</v>
      </c>
      <c r="P236" s="4"/>
      <c r="Q236" s="4"/>
      <c r="R236" s="4"/>
      <c r="S236" s="4"/>
      <c r="T236" s="4"/>
      <c r="U236" s="4"/>
      <c r="V236" s="4"/>
      <c r="W236" s="4"/>
    </row>
    <row r="237" spans="1:23" x14ac:dyDescent="0.2">
      <c r="A237" s="4">
        <v>50</v>
      </c>
      <c r="B237" s="4">
        <v>1</v>
      </c>
      <c r="C237" s="4">
        <v>0</v>
      </c>
      <c r="D237" s="4">
        <v>2</v>
      </c>
      <c r="E237" s="4">
        <v>0</v>
      </c>
      <c r="F237" s="4">
        <f>ROUND(F238+F241+F242+F239,O237)</f>
        <v>131</v>
      </c>
      <c r="G237" s="4" t="s">
        <v>290</v>
      </c>
      <c r="H237" s="4" t="s">
        <v>291</v>
      </c>
      <c r="I237" s="4"/>
      <c r="J237" s="4"/>
      <c r="K237" s="4">
        <v>212</v>
      </c>
      <c r="L237" s="4">
        <v>36</v>
      </c>
      <c r="M237" s="4">
        <v>1</v>
      </c>
      <c r="N237" s="4" t="s">
        <v>2</v>
      </c>
      <c r="O237" s="4">
        <v>0</v>
      </c>
      <c r="P237" s="4"/>
      <c r="Q237" s="4"/>
      <c r="R237" s="4"/>
      <c r="S237" s="4"/>
      <c r="T237" s="4"/>
      <c r="U237" s="4"/>
      <c r="V237" s="4"/>
      <c r="W237" s="4"/>
    </row>
    <row r="238" spans="1:23" x14ac:dyDescent="0.2">
      <c r="A238" s="4">
        <v>50</v>
      </c>
      <c r="B238" s="4">
        <v>0</v>
      </c>
      <c r="C238" s="4">
        <v>0</v>
      </c>
      <c r="D238" s="4">
        <v>2</v>
      </c>
      <c r="E238" s="4">
        <v>0</v>
      </c>
      <c r="F238" s="4">
        <v>14</v>
      </c>
      <c r="G238" s="4" t="s">
        <v>292</v>
      </c>
      <c r="H238" s="4" t="s">
        <v>293</v>
      </c>
      <c r="I238" s="4"/>
      <c r="J238" s="4"/>
      <c r="K238" s="4">
        <v>212</v>
      </c>
      <c r="L238" s="4">
        <v>37</v>
      </c>
      <c r="M238" s="4">
        <v>3</v>
      </c>
      <c r="N238" s="4" t="s">
        <v>2</v>
      </c>
      <c r="O238" s="4">
        <v>0</v>
      </c>
      <c r="P238" s="4"/>
      <c r="Q238" s="4"/>
      <c r="R238" s="4"/>
      <c r="S238" s="4"/>
      <c r="T238" s="4"/>
      <c r="U238" s="4"/>
      <c r="V238" s="4"/>
      <c r="W238" s="4"/>
    </row>
    <row r="239" spans="1:23" x14ac:dyDescent="0.2">
      <c r="A239" s="4">
        <v>50</v>
      </c>
      <c r="B239" s="4">
        <v>1</v>
      </c>
      <c r="C239" s="4">
        <v>0</v>
      </c>
      <c r="D239" s="4">
        <v>2</v>
      </c>
      <c r="E239" s="4">
        <v>0</v>
      </c>
      <c r="F239" s="4">
        <v>59</v>
      </c>
      <c r="G239" s="4" t="s">
        <v>294</v>
      </c>
      <c r="H239" s="4" t="s">
        <v>295</v>
      </c>
      <c r="I239" s="4"/>
      <c r="J239" s="4"/>
      <c r="K239" s="4">
        <v>212</v>
      </c>
      <c r="L239" s="4">
        <v>38</v>
      </c>
      <c r="M239" s="4">
        <v>1</v>
      </c>
      <c r="N239" s="4" t="s">
        <v>2</v>
      </c>
      <c r="O239" s="4">
        <v>0</v>
      </c>
      <c r="P239" s="4"/>
      <c r="Q239" s="4"/>
      <c r="R239" s="4"/>
      <c r="S239" s="4"/>
      <c r="T239" s="4"/>
      <c r="U239" s="4"/>
      <c r="V239" s="4"/>
      <c r="W239" s="4"/>
    </row>
    <row r="240" spans="1:23" x14ac:dyDescent="0.2">
      <c r="A240" s="4">
        <v>50</v>
      </c>
      <c r="B240" s="4">
        <v>0</v>
      </c>
      <c r="C240" s="4">
        <v>0</v>
      </c>
      <c r="D240" s="4">
        <v>2</v>
      </c>
      <c r="E240" s="4">
        <v>0</v>
      </c>
      <c r="F240" s="4">
        <v>0</v>
      </c>
      <c r="G240" s="4" t="s">
        <v>296</v>
      </c>
      <c r="H240" s="4" t="s">
        <v>159</v>
      </c>
      <c r="I240" s="4"/>
      <c r="J240" s="4"/>
      <c r="K240" s="4">
        <v>212</v>
      </c>
      <c r="L240" s="4">
        <v>39</v>
      </c>
      <c r="M240" s="4">
        <v>1</v>
      </c>
      <c r="N240" s="4" t="s">
        <v>2</v>
      </c>
      <c r="O240" s="4">
        <v>0</v>
      </c>
      <c r="P240" s="4"/>
      <c r="Q240" s="4"/>
      <c r="R240" s="4"/>
      <c r="S240" s="4"/>
      <c r="T240" s="4"/>
      <c r="U240" s="4"/>
      <c r="V240" s="4"/>
      <c r="W240" s="4"/>
    </row>
    <row r="241" spans="1:23" x14ac:dyDescent="0.2">
      <c r="A241" s="4">
        <v>50</v>
      </c>
      <c r="B241" s="4">
        <v>0</v>
      </c>
      <c r="C241" s="4">
        <v>0</v>
      </c>
      <c r="D241" s="4">
        <v>2</v>
      </c>
      <c r="E241" s="4">
        <v>0</v>
      </c>
      <c r="F241" s="4">
        <v>57</v>
      </c>
      <c r="G241" s="4" t="s">
        <v>297</v>
      </c>
      <c r="H241" s="4" t="s">
        <v>298</v>
      </c>
      <c r="I241" s="4"/>
      <c r="J241" s="4"/>
      <c r="K241" s="4">
        <v>212</v>
      </c>
      <c r="L241" s="4">
        <v>40</v>
      </c>
      <c r="M241" s="4">
        <v>3</v>
      </c>
      <c r="N241" s="4" t="s">
        <v>2</v>
      </c>
      <c r="O241" s="4">
        <v>0</v>
      </c>
      <c r="P241" s="4"/>
      <c r="Q241" s="4"/>
      <c r="R241" s="4"/>
      <c r="S241" s="4"/>
      <c r="T241" s="4"/>
      <c r="U241" s="4"/>
      <c r="V241" s="4"/>
      <c r="W241" s="4"/>
    </row>
    <row r="242" spans="1:23" x14ac:dyDescent="0.2">
      <c r="A242" s="4">
        <v>50</v>
      </c>
      <c r="B242" s="4">
        <v>0</v>
      </c>
      <c r="C242" s="4">
        <v>0</v>
      </c>
      <c r="D242" s="4">
        <v>2</v>
      </c>
      <c r="E242" s="4">
        <v>0</v>
      </c>
      <c r="F242" s="4">
        <v>1</v>
      </c>
      <c r="G242" s="4" t="s">
        <v>299</v>
      </c>
      <c r="H242" s="4" t="s">
        <v>300</v>
      </c>
      <c r="I242" s="4"/>
      <c r="J242" s="4"/>
      <c r="K242" s="4">
        <v>212</v>
      </c>
      <c r="L242" s="4">
        <v>41</v>
      </c>
      <c r="M242" s="4">
        <v>3</v>
      </c>
      <c r="N242" s="4" t="s">
        <v>2</v>
      </c>
      <c r="O242" s="4">
        <v>0</v>
      </c>
      <c r="P242" s="4"/>
      <c r="Q242" s="4"/>
      <c r="R242" s="4"/>
      <c r="S242" s="4"/>
      <c r="T242" s="4"/>
      <c r="U242" s="4"/>
      <c r="V242" s="4"/>
      <c r="W242" s="4"/>
    </row>
    <row r="243" spans="1:23" x14ac:dyDescent="0.2">
      <c r="A243" s="4">
        <v>50</v>
      </c>
      <c r="B243" s="4">
        <v>0</v>
      </c>
      <c r="C243" s="4">
        <v>0</v>
      </c>
      <c r="D243" s="4">
        <v>2</v>
      </c>
      <c r="E243" s="4">
        <v>0</v>
      </c>
      <c r="F243" s="4">
        <v>0</v>
      </c>
      <c r="G243" s="4" t="s">
        <v>301</v>
      </c>
      <c r="H243" s="4" t="s">
        <v>302</v>
      </c>
      <c r="I243" s="4"/>
      <c r="J243" s="4"/>
      <c r="K243" s="4">
        <v>212</v>
      </c>
      <c r="L243" s="4">
        <v>42</v>
      </c>
      <c r="M243" s="4">
        <v>3</v>
      </c>
      <c r="N243" s="4" t="s">
        <v>2</v>
      </c>
      <c r="O243" s="4">
        <v>0</v>
      </c>
      <c r="P243" s="4"/>
      <c r="Q243" s="4"/>
      <c r="R243" s="4"/>
      <c r="S243" s="4"/>
      <c r="T243" s="4"/>
      <c r="U243" s="4"/>
      <c r="V243" s="4"/>
      <c r="W243" s="4"/>
    </row>
    <row r="244" spans="1:23" x14ac:dyDescent="0.2">
      <c r="A244" s="4">
        <v>50</v>
      </c>
      <c r="B244" s="4">
        <v>0</v>
      </c>
      <c r="C244" s="4">
        <v>0</v>
      </c>
      <c r="D244" s="4">
        <v>2</v>
      </c>
      <c r="E244" s="4">
        <v>0</v>
      </c>
      <c r="F244" s="4">
        <v>6</v>
      </c>
      <c r="G244" s="4" t="s">
        <v>303</v>
      </c>
      <c r="H244" s="4" t="s">
        <v>161</v>
      </c>
      <c r="I244" s="4"/>
      <c r="J244" s="4"/>
      <c r="K244" s="4">
        <v>212</v>
      </c>
      <c r="L244" s="4">
        <v>43</v>
      </c>
      <c r="M244" s="4">
        <v>3</v>
      </c>
      <c r="N244" s="4" t="s">
        <v>2</v>
      </c>
      <c r="O244" s="4">
        <v>0</v>
      </c>
      <c r="P244" s="4"/>
      <c r="Q244" s="4"/>
      <c r="R244" s="4"/>
      <c r="S244" s="4"/>
      <c r="T244" s="4"/>
      <c r="U244" s="4"/>
      <c r="V244" s="4"/>
      <c r="W244" s="4"/>
    </row>
    <row r="245" spans="1:23" x14ac:dyDescent="0.2">
      <c r="A245" s="4">
        <v>50</v>
      </c>
      <c r="B245" s="4">
        <v>0</v>
      </c>
      <c r="C245" s="4">
        <v>0</v>
      </c>
      <c r="D245" s="4">
        <v>2</v>
      </c>
      <c r="E245" s="4">
        <v>0</v>
      </c>
      <c r="F245" s="4">
        <v>0</v>
      </c>
      <c r="G245" s="4" t="s">
        <v>304</v>
      </c>
      <c r="H245" s="4" t="s">
        <v>163</v>
      </c>
      <c r="I245" s="4"/>
      <c r="J245" s="4"/>
      <c r="K245" s="4">
        <v>212</v>
      </c>
      <c r="L245" s="4">
        <v>44</v>
      </c>
      <c r="M245" s="4">
        <v>3</v>
      </c>
      <c r="N245" s="4" t="s">
        <v>2</v>
      </c>
      <c r="O245" s="4">
        <v>0</v>
      </c>
      <c r="P245" s="4"/>
      <c r="Q245" s="4"/>
      <c r="R245" s="4"/>
      <c r="S245" s="4"/>
      <c r="T245" s="4"/>
      <c r="U245" s="4"/>
      <c r="V245" s="4"/>
      <c r="W245" s="4"/>
    </row>
    <row r="246" spans="1:23" x14ac:dyDescent="0.2">
      <c r="A246" s="4">
        <v>50</v>
      </c>
      <c r="B246" s="4">
        <v>1</v>
      </c>
      <c r="C246" s="4">
        <v>0</v>
      </c>
      <c r="D246" s="4">
        <v>2</v>
      </c>
      <c r="E246" s="4">
        <v>0</v>
      </c>
      <c r="F246" s="4">
        <v>56</v>
      </c>
      <c r="G246" s="4" t="s">
        <v>305</v>
      </c>
      <c r="H246" s="4" t="s">
        <v>306</v>
      </c>
      <c r="I246" s="4"/>
      <c r="J246" s="4"/>
      <c r="K246" s="4">
        <v>212</v>
      </c>
      <c r="L246" s="4">
        <v>45</v>
      </c>
      <c r="M246" s="4">
        <v>1</v>
      </c>
      <c r="N246" s="4" t="s">
        <v>2</v>
      </c>
      <c r="O246" s="4">
        <v>0</v>
      </c>
      <c r="P246" s="4"/>
      <c r="Q246" s="4"/>
      <c r="R246" s="4"/>
      <c r="S246" s="4"/>
      <c r="T246" s="4"/>
      <c r="U246" s="4"/>
      <c r="V246" s="4"/>
      <c r="W246" s="4"/>
    </row>
    <row r="247" spans="1:23" x14ac:dyDescent="0.2">
      <c r="A247" s="4">
        <v>50</v>
      </c>
      <c r="B247" s="4">
        <v>1</v>
      </c>
      <c r="C247" s="4">
        <v>0</v>
      </c>
      <c r="D247" s="4">
        <v>2</v>
      </c>
      <c r="E247" s="4">
        <v>0</v>
      </c>
      <c r="F247" s="4">
        <v>29</v>
      </c>
      <c r="G247" s="4" t="s">
        <v>307</v>
      </c>
      <c r="H247" s="4" t="s">
        <v>308</v>
      </c>
      <c r="I247" s="4"/>
      <c r="J247" s="4"/>
      <c r="K247" s="4">
        <v>212</v>
      </c>
      <c r="L247" s="4">
        <v>46</v>
      </c>
      <c r="M247" s="4">
        <v>1</v>
      </c>
      <c r="N247" s="4" t="s">
        <v>2</v>
      </c>
      <c r="O247" s="4">
        <v>0</v>
      </c>
      <c r="P247" s="4"/>
      <c r="Q247" s="4"/>
      <c r="R247" s="4"/>
      <c r="S247" s="4"/>
      <c r="T247" s="4"/>
      <c r="U247" s="4"/>
      <c r="V247" s="4"/>
      <c r="W247" s="4"/>
    </row>
    <row r="248" spans="1:23" x14ac:dyDescent="0.2">
      <c r="A248" s="4">
        <v>50</v>
      </c>
      <c r="B248" s="4">
        <v>1</v>
      </c>
      <c r="C248" s="4">
        <v>0</v>
      </c>
      <c r="D248" s="4">
        <v>2</v>
      </c>
      <c r="E248" s="4">
        <v>0</v>
      </c>
      <c r="F248" s="4">
        <f>ROUND(F237+F246+F247,O248)</f>
        <v>216</v>
      </c>
      <c r="G248" s="4" t="s">
        <v>309</v>
      </c>
      <c r="H248" s="4" t="s">
        <v>310</v>
      </c>
      <c r="I248" s="4"/>
      <c r="J248" s="4"/>
      <c r="K248" s="4">
        <v>212</v>
      </c>
      <c r="L248" s="4">
        <v>47</v>
      </c>
      <c r="M248" s="4">
        <v>1</v>
      </c>
      <c r="N248" s="4" t="s">
        <v>311</v>
      </c>
      <c r="O248" s="4">
        <v>0</v>
      </c>
      <c r="P248" s="4"/>
      <c r="Q248" s="4"/>
      <c r="R248" s="4"/>
      <c r="S248" s="4"/>
      <c r="T248" s="4"/>
      <c r="U248" s="4"/>
      <c r="V248" s="4"/>
      <c r="W248" s="4"/>
    </row>
    <row r="249" spans="1:23" x14ac:dyDescent="0.2">
      <c r="A249" s="4">
        <v>50</v>
      </c>
      <c r="B249" s="4">
        <v>1</v>
      </c>
      <c r="C249" s="4">
        <v>0</v>
      </c>
      <c r="D249" s="4">
        <v>2</v>
      </c>
      <c r="E249" s="4">
        <v>0</v>
      </c>
      <c r="F249" s="4">
        <f>ROUND(F250+F253+F254+F251,O249)</f>
        <v>14554</v>
      </c>
      <c r="G249" s="4" t="s">
        <v>312</v>
      </c>
      <c r="H249" s="4" t="s">
        <v>313</v>
      </c>
      <c r="I249" s="4"/>
      <c r="J249" s="4"/>
      <c r="K249" s="4">
        <v>212</v>
      </c>
      <c r="L249" s="4">
        <v>48</v>
      </c>
      <c r="M249" s="4">
        <v>1</v>
      </c>
      <c r="N249" s="4" t="s">
        <v>2</v>
      </c>
      <c r="O249" s="4">
        <v>0</v>
      </c>
      <c r="P249" s="4"/>
      <c r="Q249" s="4"/>
      <c r="R249" s="4"/>
      <c r="S249" s="4"/>
      <c r="T249" s="4"/>
      <c r="U249" s="4"/>
      <c r="V249" s="4"/>
      <c r="W249" s="4"/>
    </row>
    <row r="250" spans="1:23" x14ac:dyDescent="0.2">
      <c r="A250" s="4">
        <v>50</v>
      </c>
      <c r="B250" s="4">
        <v>0</v>
      </c>
      <c r="C250" s="4">
        <v>0</v>
      </c>
      <c r="D250" s="4">
        <v>2</v>
      </c>
      <c r="E250" s="4">
        <v>0</v>
      </c>
      <c r="F250" s="4">
        <v>260</v>
      </c>
      <c r="G250" s="4" t="s">
        <v>314</v>
      </c>
      <c r="H250" s="4" t="s">
        <v>293</v>
      </c>
      <c r="I250" s="4"/>
      <c r="J250" s="4"/>
      <c r="K250" s="4">
        <v>212</v>
      </c>
      <c r="L250" s="4">
        <v>49</v>
      </c>
      <c r="M250" s="4">
        <v>3</v>
      </c>
      <c r="N250" s="4" t="s">
        <v>2</v>
      </c>
      <c r="O250" s="4">
        <v>0</v>
      </c>
      <c r="P250" s="4"/>
      <c r="Q250" s="4"/>
      <c r="R250" s="4"/>
      <c r="S250" s="4"/>
      <c r="T250" s="4"/>
      <c r="U250" s="4"/>
      <c r="V250" s="4"/>
      <c r="W250" s="4"/>
    </row>
    <row r="251" spans="1:23" x14ac:dyDescent="0.2">
      <c r="A251" s="4">
        <v>50</v>
      </c>
      <c r="B251" s="4">
        <v>1</v>
      </c>
      <c r="C251" s="4">
        <v>0</v>
      </c>
      <c r="D251" s="4">
        <v>2</v>
      </c>
      <c r="E251" s="4">
        <v>0</v>
      </c>
      <c r="F251" s="4">
        <v>13613</v>
      </c>
      <c r="G251" s="4" t="s">
        <v>315</v>
      </c>
      <c r="H251" s="4" t="s">
        <v>295</v>
      </c>
      <c r="I251" s="4"/>
      <c r="J251" s="4"/>
      <c r="K251" s="4">
        <v>212</v>
      </c>
      <c r="L251" s="4">
        <v>50</v>
      </c>
      <c r="M251" s="4">
        <v>1</v>
      </c>
      <c r="N251" s="4" t="s">
        <v>2</v>
      </c>
      <c r="O251" s="4">
        <v>0</v>
      </c>
      <c r="P251" s="4"/>
      <c r="Q251" s="4"/>
      <c r="R251" s="4"/>
      <c r="S251" s="4"/>
      <c r="T251" s="4"/>
      <c r="U251" s="4"/>
      <c r="V251" s="4"/>
      <c r="W251" s="4"/>
    </row>
    <row r="252" spans="1:23" x14ac:dyDescent="0.2">
      <c r="A252" s="4">
        <v>50</v>
      </c>
      <c r="B252" s="4">
        <v>0</v>
      </c>
      <c r="C252" s="4">
        <v>0</v>
      </c>
      <c r="D252" s="4">
        <v>2</v>
      </c>
      <c r="E252" s="4">
        <v>0</v>
      </c>
      <c r="F252" s="4">
        <v>0</v>
      </c>
      <c r="G252" s="4" t="s">
        <v>316</v>
      </c>
      <c r="H252" s="4" t="s">
        <v>159</v>
      </c>
      <c r="I252" s="4"/>
      <c r="J252" s="4"/>
      <c r="K252" s="4">
        <v>212</v>
      </c>
      <c r="L252" s="4">
        <v>51</v>
      </c>
      <c r="M252" s="4">
        <v>1</v>
      </c>
      <c r="N252" s="4" t="s">
        <v>2</v>
      </c>
      <c r="O252" s="4">
        <v>0</v>
      </c>
      <c r="P252" s="4"/>
      <c r="Q252" s="4"/>
      <c r="R252" s="4"/>
      <c r="S252" s="4"/>
      <c r="T252" s="4"/>
      <c r="U252" s="4"/>
      <c r="V252" s="4"/>
      <c r="W252" s="4"/>
    </row>
    <row r="253" spans="1:23" x14ac:dyDescent="0.2">
      <c r="A253" s="4">
        <v>50</v>
      </c>
      <c r="B253" s="4">
        <v>0</v>
      </c>
      <c r="C253" s="4">
        <v>0</v>
      </c>
      <c r="D253" s="4">
        <v>2</v>
      </c>
      <c r="E253" s="4">
        <v>0</v>
      </c>
      <c r="F253" s="4">
        <v>594</v>
      </c>
      <c r="G253" s="4" t="s">
        <v>317</v>
      </c>
      <c r="H253" s="4" t="s">
        <v>298</v>
      </c>
      <c r="I253" s="4"/>
      <c r="J253" s="4"/>
      <c r="K253" s="4">
        <v>212</v>
      </c>
      <c r="L253" s="4">
        <v>52</v>
      </c>
      <c r="M253" s="4">
        <v>3</v>
      </c>
      <c r="N253" s="4" t="s">
        <v>2</v>
      </c>
      <c r="O253" s="4">
        <v>0</v>
      </c>
      <c r="P253" s="4"/>
      <c r="Q253" s="4"/>
      <c r="R253" s="4"/>
      <c r="S253" s="4"/>
      <c r="T253" s="4"/>
      <c r="U253" s="4"/>
      <c r="V253" s="4"/>
      <c r="W253" s="4"/>
    </row>
    <row r="254" spans="1:23" x14ac:dyDescent="0.2">
      <c r="A254" s="4">
        <v>50</v>
      </c>
      <c r="B254" s="4">
        <v>0</v>
      </c>
      <c r="C254" s="4">
        <v>0</v>
      </c>
      <c r="D254" s="4">
        <v>2</v>
      </c>
      <c r="E254" s="4">
        <v>0</v>
      </c>
      <c r="F254" s="4">
        <v>87</v>
      </c>
      <c r="G254" s="4" t="s">
        <v>318</v>
      </c>
      <c r="H254" s="4" t="s">
        <v>300</v>
      </c>
      <c r="I254" s="4"/>
      <c r="J254" s="4"/>
      <c r="K254" s="4">
        <v>212</v>
      </c>
      <c r="L254" s="4">
        <v>53</v>
      </c>
      <c r="M254" s="4">
        <v>3</v>
      </c>
      <c r="N254" s="4" t="s">
        <v>2</v>
      </c>
      <c r="O254" s="4">
        <v>0</v>
      </c>
      <c r="P254" s="4"/>
      <c r="Q254" s="4"/>
      <c r="R254" s="4"/>
      <c r="S254" s="4"/>
      <c r="T254" s="4"/>
      <c r="U254" s="4"/>
      <c r="V254" s="4"/>
      <c r="W254" s="4"/>
    </row>
    <row r="255" spans="1:23" x14ac:dyDescent="0.2">
      <c r="A255" s="4">
        <v>50</v>
      </c>
      <c r="B255" s="4">
        <v>0</v>
      </c>
      <c r="C255" s="4">
        <v>0</v>
      </c>
      <c r="D255" s="4">
        <v>2</v>
      </c>
      <c r="E255" s="4">
        <v>0</v>
      </c>
      <c r="F255" s="4">
        <v>10</v>
      </c>
      <c r="G255" s="4" t="s">
        <v>319</v>
      </c>
      <c r="H255" s="4" t="s">
        <v>302</v>
      </c>
      <c r="I255" s="4"/>
      <c r="J255" s="4"/>
      <c r="K255" s="4">
        <v>212</v>
      </c>
      <c r="L255" s="4">
        <v>54</v>
      </c>
      <c r="M255" s="4">
        <v>3</v>
      </c>
      <c r="N255" s="4" t="s">
        <v>2</v>
      </c>
      <c r="O255" s="4">
        <v>0</v>
      </c>
      <c r="P255" s="4"/>
      <c r="Q255" s="4"/>
      <c r="R255" s="4"/>
      <c r="S255" s="4"/>
      <c r="T255" s="4"/>
      <c r="U255" s="4"/>
      <c r="V255" s="4"/>
      <c r="W255" s="4"/>
    </row>
    <row r="256" spans="1:23" x14ac:dyDescent="0.2">
      <c r="A256" s="4">
        <v>50</v>
      </c>
      <c r="B256" s="4">
        <v>0</v>
      </c>
      <c r="C256" s="4">
        <v>0</v>
      </c>
      <c r="D256" s="4">
        <v>2</v>
      </c>
      <c r="E256" s="4">
        <v>0</v>
      </c>
      <c r="F256" s="4">
        <v>68</v>
      </c>
      <c r="G256" s="4" t="s">
        <v>320</v>
      </c>
      <c r="H256" s="4" t="s">
        <v>161</v>
      </c>
      <c r="I256" s="4"/>
      <c r="J256" s="4"/>
      <c r="K256" s="4">
        <v>212</v>
      </c>
      <c r="L256" s="4">
        <v>55</v>
      </c>
      <c r="M256" s="4">
        <v>3</v>
      </c>
      <c r="N256" s="4" t="s">
        <v>2</v>
      </c>
      <c r="O256" s="4">
        <v>0</v>
      </c>
      <c r="P256" s="4"/>
      <c r="Q256" s="4"/>
      <c r="R256" s="4"/>
      <c r="S256" s="4"/>
      <c r="T256" s="4"/>
      <c r="U256" s="4"/>
      <c r="V256" s="4"/>
      <c r="W256" s="4"/>
    </row>
    <row r="257" spans="1:23" x14ac:dyDescent="0.2">
      <c r="A257" s="4">
        <v>50</v>
      </c>
      <c r="B257" s="4">
        <v>0</v>
      </c>
      <c r="C257" s="4">
        <v>0</v>
      </c>
      <c r="D257" s="4">
        <v>2</v>
      </c>
      <c r="E257" s="4">
        <v>0</v>
      </c>
      <c r="F257" s="4">
        <v>1</v>
      </c>
      <c r="G257" s="4" t="s">
        <v>321</v>
      </c>
      <c r="H257" s="4" t="s">
        <v>163</v>
      </c>
      <c r="I257" s="4"/>
      <c r="J257" s="4"/>
      <c r="K257" s="4">
        <v>212</v>
      </c>
      <c r="L257" s="4">
        <v>56</v>
      </c>
      <c r="M257" s="4">
        <v>3</v>
      </c>
      <c r="N257" s="4" t="s">
        <v>2</v>
      </c>
      <c r="O257" s="4">
        <v>0</v>
      </c>
      <c r="P257" s="4"/>
      <c r="Q257" s="4"/>
      <c r="R257" s="4"/>
      <c r="S257" s="4"/>
      <c r="T257" s="4"/>
      <c r="U257" s="4"/>
      <c r="V257" s="4"/>
      <c r="W257" s="4"/>
    </row>
    <row r="258" spans="1:23" x14ac:dyDescent="0.2">
      <c r="A258" s="4">
        <v>50</v>
      </c>
      <c r="B258" s="4">
        <v>1</v>
      </c>
      <c r="C258" s="4">
        <v>0</v>
      </c>
      <c r="D258" s="4">
        <v>2</v>
      </c>
      <c r="E258" s="4">
        <v>0</v>
      </c>
      <c r="F258" s="4">
        <v>642</v>
      </c>
      <c r="G258" s="4" t="s">
        <v>322</v>
      </c>
      <c r="H258" s="4" t="s">
        <v>306</v>
      </c>
      <c r="I258" s="4"/>
      <c r="J258" s="4"/>
      <c r="K258" s="4">
        <v>212</v>
      </c>
      <c r="L258" s="4">
        <v>57</v>
      </c>
      <c r="M258" s="4">
        <v>1</v>
      </c>
      <c r="N258" s="4" t="s">
        <v>2</v>
      </c>
      <c r="O258" s="4">
        <v>0</v>
      </c>
      <c r="P258" s="4"/>
      <c r="Q258" s="4"/>
      <c r="R258" s="4"/>
      <c r="S258" s="4"/>
      <c r="T258" s="4"/>
      <c r="U258" s="4"/>
      <c r="V258" s="4"/>
      <c r="W258" s="4"/>
    </row>
    <row r="259" spans="1:23" x14ac:dyDescent="0.2">
      <c r="A259" s="4">
        <v>50</v>
      </c>
      <c r="B259" s="4">
        <v>1</v>
      </c>
      <c r="C259" s="4">
        <v>0</v>
      </c>
      <c r="D259" s="4">
        <v>2</v>
      </c>
      <c r="E259" s="4">
        <v>0</v>
      </c>
      <c r="F259" s="4">
        <v>297</v>
      </c>
      <c r="G259" s="4" t="s">
        <v>323</v>
      </c>
      <c r="H259" s="4" t="s">
        <v>308</v>
      </c>
      <c r="I259" s="4"/>
      <c r="J259" s="4"/>
      <c r="K259" s="4">
        <v>212</v>
      </c>
      <c r="L259" s="4">
        <v>58</v>
      </c>
      <c r="M259" s="4">
        <v>1</v>
      </c>
      <c r="N259" s="4" t="s">
        <v>2</v>
      </c>
      <c r="O259" s="4">
        <v>0</v>
      </c>
      <c r="P259" s="4"/>
      <c r="Q259" s="4"/>
      <c r="R259" s="4"/>
      <c r="S259" s="4"/>
      <c r="T259" s="4"/>
      <c r="U259" s="4"/>
      <c r="V259" s="4"/>
      <c r="W259" s="4"/>
    </row>
    <row r="260" spans="1:23" x14ac:dyDescent="0.2">
      <c r="A260" s="4">
        <v>50</v>
      </c>
      <c r="B260" s="4">
        <v>1</v>
      </c>
      <c r="C260" s="4">
        <v>0</v>
      </c>
      <c r="D260" s="4">
        <v>2</v>
      </c>
      <c r="E260" s="4">
        <v>0</v>
      </c>
      <c r="F260" s="4">
        <f>ROUND(F249+F258+F259,O260)</f>
        <v>15493</v>
      </c>
      <c r="G260" s="4" t="s">
        <v>324</v>
      </c>
      <c r="H260" s="4" t="s">
        <v>325</v>
      </c>
      <c r="I260" s="4"/>
      <c r="J260" s="4"/>
      <c r="K260" s="4">
        <v>212</v>
      </c>
      <c r="L260" s="4">
        <v>59</v>
      </c>
      <c r="M260" s="4">
        <v>1</v>
      </c>
      <c r="N260" s="4" t="s">
        <v>326</v>
      </c>
      <c r="O260" s="4">
        <v>0</v>
      </c>
      <c r="P260" s="4"/>
      <c r="Q260" s="4"/>
      <c r="R260" s="4"/>
      <c r="S260" s="4"/>
      <c r="T260" s="4"/>
      <c r="U260" s="4"/>
      <c r="V260" s="4"/>
      <c r="W260" s="4"/>
    </row>
    <row r="261" spans="1:23" x14ac:dyDescent="0.2">
      <c r="A261" s="4">
        <v>50</v>
      </c>
      <c r="B261" s="4">
        <v>1</v>
      </c>
      <c r="C261" s="4">
        <v>0</v>
      </c>
      <c r="D261" s="4">
        <v>2</v>
      </c>
      <c r="E261" s="4">
        <v>0</v>
      </c>
      <c r="F261" s="4">
        <f>ROUND(F262+F265+F266+F263,O261)</f>
        <v>1234</v>
      </c>
      <c r="G261" s="4" t="s">
        <v>327</v>
      </c>
      <c r="H261" s="4" t="s">
        <v>328</v>
      </c>
      <c r="I261" s="4"/>
      <c r="J261" s="4"/>
      <c r="K261" s="4">
        <v>212</v>
      </c>
      <c r="L261" s="4">
        <v>60</v>
      </c>
      <c r="M261" s="4">
        <v>1</v>
      </c>
      <c r="N261" s="4" t="s">
        <v>2</v>
      </c>
      <c r="O261" s="4">
        <v>0</v>
      </c>
      <c r="P261" s="4"/>
      <c r="Q261" s="4"/>
      <c r="R261" s="4"/>
      <c r="S261" s="4"/>
      <c r="T261" s="4"/>
      <c r="U261" s="4"/>
      <c r="V261" s="4"/>
      <c r="W261" s="4"/>
    </row>
    <row r="262" spans="1:23" x14ac:dyDescent="0.2">
      <c r="A262" s="4">
        <v>50</v>
      </c>
      <c r="B262" s="4">
        <v>0</v>
      </c>
      <c r="C262" s="4">
        <v>0</v>
      </c>
      <c r="D262" s="4">
        <v>2</v>
      </c>
      <c r="E262" s="4">
        <v>0</v>
      </c>
      <c r="F262" s="4">
        <v>58</v>
      </c>
      <c r="G262" s="4" t="s">
        <v>329</v>
      </c>
      <c r="H262" s="4" t="s">
        <v>293</v>
      </c>
      <c r="I262" s="4"/>
      <c r="J262" s="4"/>
      <c r="K262" s="4">
        <v>212</v>
      </c>
      <c r="L262" s="4">
        <v>61</v>
      </c>
      <c r="M262" s="4">
        <v>3</v>
      </c>
      <c r="N262" s="4" t="s">
        <v>2</v>
      </c>
      <c r="O262" s="4">
        <v>0</v>
      </c>
      <c r="P262" s="4"/>
      <c r="Q262" s="4"/>
      <c r="R262" s="4"/>
      <c r="S262" s="4"/>
      <c r="T262" s="4"/>
      <c r="U262" s="4"/>
      <c r="V262" s="4"/>
      <c r="W262" s="4"/>
    </row>
    <row r="263" spans="1:23" x14ac:dyDescent="0.2">
      <c r="A263" s="4">
        <v>50</v>
      </c>
      <c r="B263" s="4">
        <v>0</v>
      </c>
      <c r="C263" s="4">
        <v>0</v>
      </c>
      <c r="D263" s="4">
        <v>2</v>
      </c>
      <c r="E263" s="4">
        <v>0</v>
      </c>
      <c r="F263" s="4">
        <v>0</v>
      </c>
      <c r="G263" s="4" t="s">
        <v>330</v>
      </c>
      <c r="H263" s="4" t="s">
        <v>295</v>
      </c>
      <c r="I263" s="4"/>
      <c r="J263" s="4"/>
      <c r="K263" s="4">
        <v>212</v>
      </c>
      <c r="L263" s="4">
        <v>62</v>
      </c>
      <c r="M263" s="4">
        <v>1</v>
      </c>
      <c r="N263" s="4" t="s">
        <v>2</v>
      </c>
      <c r="O263" s="4">
        <v>0</v>
      </c>
      <c r="P263" s="4"/>
      <c r="Q263" s="4"/>
      <c r="R263" s="4"/>
      <c r="S263" s="4"/>
      <c r="T263" s="4"/>
      <c r="U263" s="4"/>
      <c r="V263" s="4"/>
      <c r="W263" s="4"/>
    </row>
    <row r="264" spans="1:23" x14ac:dyDescent="0.2">
      <c r="A264" s="4">
        <v>50</v>
      </c>
      <c r="B264" s="4">
        <v>0</v>
      </c>
      <c r="C264" s="4">
        <v>0</v>
      </c>
      <c r="D264" s="4">
        <v>2</v>
      </c>
      <c r="E264" s="4">
        <v>0</v>
      </c>
      <c r="F264" s="4">
        <v>0</v>
      </c>
      <c r="G264" s="4" t="s">
        <v>331</v>
      </c>
      <c r="H264" s="4" t="s">
        <v>159</v>
      </c>
      <c r="I264" s="4"/>
      <c r="J264" s="4"/>
      <c r="K264" s="4">
        <v>212</v>
      </c>
      <c r="L264" s="4">
        <v>63</v>
      </c>
      <c r="M264" s="4">
        <v>1</v>
      </c>
      <c r="N264" s="4" t="s">
        <v>2</v>
      </c>
      <c r="O264" s="4">
        <v>0</v>
      </c>
      <c r="P264" s="4"/>
      <c r="Q264" s="4"/>
      <c r="R264" s="4"/>
      <c r="S264" s="4"/>
      <c r="T264" s="4"/>
      <c r="U264" s="4"/>
      <c r="V264" s="4"/>
      <c r="W264" s="4"/>
    </row>
    <row r="265" spans="1:23" x14ac:dyDescent="0.2">
      <c r="A265" s="4">
        <v>50</v>
      </c>
      <c r="B265" s="4">
        <v>0</v>
      </c>
      <c r="C265" s="4">
        <v>0</v>
      </c>
      <c r="D265" s="4">
        <v>2</v>
      </c>
      <c r="E265" s="4">
        <v>0</v>
      </c>
      <c r="F265" s="4">
        <v>923</v>
      </c>
      <c r="G265" s="4" t="s">
        <v>332</v>
      </c>
      <c r="H265" s="4" t="s">
        <v>298</v>
      </c>
      <c r="I265" s="4"/>
      <c r="J265" s="4"/>
      <c r="K265" s="4">
        <v>212</v>
      </c>
      <c r="L265" s="4">
        <v>64</v>
      </c>
      <c r="M265" s="4">
        <v>3</v>
      </c>
      <c r="N265" s="4" t="s">
        <v>2</v>
      </c>
      <c r="O265" s="4">
        <v>0</v>
      </c>
      <c r="P265" s="4"/>
      <c r="Q265" s="4"/>
      <c r="R265" s="4"/>
      <c r="S265" s="4"/>
      <c r="T265" s="4"/>
      <c r="U265" s="4"/>
      <c r="V265" s="4"/>
      <c r="W265" s="4"/>
    </row>
    <row r="266" spans="1:23" x14ac:dyDescent="0.2">
      <c r="A266" s="4">
        <v>50</v>
      </c>
      <c r="B266" s="4">
        <v>0</v>
      </c>
      <c r="C266" s="4">
        <v>0</v>
      </c>
      <c r="D266" s="4">
        <v>2</v>
      </c>
      <c r="E266" s="4">
        <v>0</v>
      </c>
      <c r="F266" s="4">
        <v>253</v>
      </c>
      <c r="G266" s="4" t="s">
        <v>333</v>
      </c>
      <c r="H266" s="4" t="s">
        <v>300</v>
      </c>
      <c r="I266" s="4"/>
      <c r="J266" s="4"/>
      <c r="K266" s="4">
        <v>212</v>
      </c>
      <c r="L266" s="4">
        <v>65</v>
      </c>
      <c r="M266" s="4">
        <v>3</v>
      </c>
      <c r="N266" s="4" t="s">
        <v>2</v>
      </c>
      <c r="O266" s="4">
        <v>0</v>
      </c>
      <c r="P266" s="4"/>
      <c r="Q266" s="4"/>
      <c r="R266" s="4"/>
      <c r="S266" s="4"/>
      <c r="T266" s="4"/>
      <c r="U266" s="4"/>
      <c r="V266" s="4"/>
      <c r="W266" s="4"/>
    </row>
    <row r="267" spans="1:23" x14ac:dyDescent="0.2">
      <c r="A267" s="4">
        <v>50</v>
      </c>
      <c r="B267" s="4">
        <v>0</v>
      </c>
      <c r="C267" s="4">
        <v>0</v>
      </c>
      <c r="D267" s="4">
        <v>2</v>
      </c>
      <c r="E267" s="4">
        <v>0</v>
      </c>
      <c r="F267" s="4">
        <v>22</v>
      </c>
      <c r="G267" s="4" t="s">
        <v>334</v>
      </c>
      <c r="H267" s="4" t="s">
        <v>302</v>
      </c>
      <c r="I267" s="4"/>
      <c r="J267" s="4"/>
      <c r="K267" s="4">
        <v>212</v>
      </c>
      <c r="L267" s="4">
        <v>66</v>
      </c>
      <c r="M267" s="4">
        <v>3</v>
      </c>
      <c r="N267" s="4" t="s">
        <v>2</v>
      </c>
      <c r="O267" s="4">
        <v>0</v>
      </c>
      <c r="P267" s="4"/>
      <c r="Q267" s="4"/>
      <c r="R267" s="4"/>
      <c r="S267" s="4"/>
      <c r="T267" s="4"/>
      <c r="U267" s="4"/>
      <c r="V267" s="4"/>
      <c r="W267" s="4"/>
    </row>
    <row r="268" spans="1:23" x14ac:dyDescent="0.2">
      <c r="A268" s="4">
        <v>50</v>
      </c>
      <c r="B268" s="4">
        <v>0</v>
      </c>
      <c r="C268" s="4">
        <v>0</v>
      </c>
      <c r="D268" s="4">
        <v>2</v>
      </c>
      <c r="E268" s="4">
        <v>0</v>
      </c>
      <c r="F268" s="4">
        <v>108</v>
      </c>
      <c r="G268" s="4" t="s">
        <v>335</v>
      </c>
      <c r="H268" s="4" t="s">
        <v>161</v>
      </c>
      <c r="I268" s="4"/>
      <c r="J268" s="4"/>
      <c r="K268" s="4">
        <v>212</v>
      </c>
      <c r="L268" s="4">
        <v>67</v>
      </c>
      <c r="M268" s="4">
        <v>3</v>
      </c>
      <c r="N268" s="4" t="s">
        <v>2</v>
      </c>
      <c r="O268" s="4">
        <v>0</v>
      </c>
      <c r="P268" s="4"/>
      <c r="Q268" s="4"/>
      <c r="R268" s="4"/>
      <c r="S268" s="4"/>
      <c r="T268" s="4"/>
      <c r="U268" s="4"/>
      <c r="V268" s="4"/>
      <c r="W268" s="4"/>
    </row>
    <row r="269" spans="1:23" x14ac:dyDescent="0.2">
      <c r="A269" s="4">
        <v>50</v>
      </c>
      <c r="B269" s="4">
        <v>0</v>
      </c>
      <c r="C269" s="4">
        <v>0</v>
      </c>
      <c r="D269" s="4">
        <v>2</v>
      </c>
      <c r="E269" s="4">
        <v>0</v>
      </c>
      <c r="F269" s="4">
        <v>2</v>
      </c>
      <c r="G269" s="4" t="s">
        <v>336</v>
      </c>
      <c r="H269" s="4" t="s">
        <v>163</v>
      </c>
      <c r="I269" s="4"/>
      <c r="J269" s="4"/>
      <c r="K269" s="4">
        <v>212</v>
      </c>
      <c r="L269" s="4">
        <v>68</v>
      </c>
      <c r="M269" s="4">
        <v>3</v>
      </c>
      <c r="N269" s="4" t="s">
        <v>2</v>
      </c>
      <c r="O269" s="4">
        <v>0</v>
      </c>
      <c r="P269" s="4"/>
      <c r="Q269" s="4"/>
      <c r="R269" s="4"/>
      <c r="S269" s="4"/>
      <c r="T269" s="4"/>
      <c r="U269" s="4"/>
      <c r="V269" s="4"/>
      <c r="W269" s="4"/>
    </row>
    <row r="270" spans="1:23" x14ac:dyDescent="0.2">
      <c r="A270" s="4">
        <v>50</v>
      </c>
      <c r="B270" s="4">
        <v>1</v>
      </c>
      <c r="C270" s="4">
        <v>0</v>
      </c>
      <c r="D270" s="4">
        <v>2</v>
      </c>
      <c r="E270" s="4">
        <v>0</v>
      </c>
      <c r="F270" s="4">
        <v>871</v>
      </c>
      <c r="G270" s="4" t="s">
        <v>337</v>
      </c>
      <c r="H270" s="4" t="s">
        <v>306</v>
      </c>
      <c r="I270" s="4"/>
      <c r="J270" s="4"/>
      <c r="K270" s="4">
        <v>212</v>
      </c>
      <c r="L270" s="4">
        <v>69</v>
      </c>
      <c r="M270" s="4">
        <v>1</v>
      </c>
      <c r="N270" s="4" t="s">
        <v>2</v>
      </c>
      <c r="O270" s="4">
        <v>0</v>
      </c>
      <c r="P270" s="4"/>
      <c r="Q270" s="4"/>
      <c r="R270" s="4"/>
      <c r="S270" s="4"/>
      <c r="T270" s="4"/>
      <c r="U270" s="4"/>
      <c r="V270" s="4"/>
      <c r="W270" s="4"/>
    </row>
    <row r="271" spans="1:23" x14ac:dyDescent="0.2">
      <c r="A271" s="4">
        <v>50</v>
      </c>
      <c r="B271" s="4">
        <v>1</v>
      </c>
      <c r="C271" s="4">
        <v>0</v>
      </c>
      <c r="D271" s="4">
        <v>2</v>
      </c>
      <c r="E271" s="4">
        <v>0</v>
      </c>
      <c r="F271" s="4">
        <v>429</v>
      </c>
      <c r="G271" s="4" t="s">
        <v>338</v>
      </c>
      <c r="H271" s="4" t="s">
        <v>308</v>
      </c>
      <c r="I271" s="4"/>
      <c r="J271" s="4"/>
      <c r="K271" s="4">
        <v>212</v>
      </c>
      <c r="L271" s="4">
        <v>70</v>
      </c>
      <c r="M271" s="4">
        <v>1</v>
      </c>
      <c r="N271" s="4" t="s">
        <v>2</v>
      </c>
      <c r="O271" s="4">
        <v>0</v>
      </c>
      <c r="P271" s="4"/>
      <c r="Q271" s="4"/>
      <c r="R271" s="4"/>
      <c r="S271" s="4"/>
      <c r="T271" s="4"/>
      <c r="U271" s="4"/>
      <c r="V271" s="4"/>
      <c r="W271" s="4"/>
    </row>
    <row r="272" spans="1:23" x14ac:dyDescent="0.2">
      <c r="A272" s="4">
        <v>50</v>
      </c>
      <c r="B272" s="4">
        <v>1</v>
      </c>
      <c r="C272" s="4">
        <v>0</v>
      </c>
      <c r="D272" s="4">
        <v>2</v>
      </c>
      <c r="E272" s="4">
        <v>0</v>
      </c>
      <c r="F272" s="4">
        <f>ROUND(F261+F270+F271,O272)</f>
        <v>2534</v>
      </c>
      <c r="G272" s="4" t="s">
        <v>339</v>
      </c>
      <c r="H272" s="4" t="s">
        <v>340</v>
      </c>
      <c r="I272" s="4"/>
      <c r="J272" s="4"/>
      <c r="K272" s="4">
        <v>212</v>
      </c>
      <c r="L272" s="4">
        <v>71</v>
      </c>
      <c r="M272" s="4">
        <v>1</v>
      </c>
      <c r="N272" s="4" t="s">
        <v>341</v>
      </c>
      <c r="O272" s="4">
        <v>0</v>
      </c>
      <c r="P272" s="4"/>
      <c r="Q272" s="4"/>
      <c r="R272" s="4"/>
      <c r="S272" s="4"/>
      <c r="T272" s="4"/>
      <c r="U272" s="4"/>
      <c r="V272" s="4"/>
      <c r="W272" s="4"/>
    </row>
    <row r="273" spans="1:23" x14ac:dyDescent="0.2">
      <c r="A273" s="4">
        <v>50</v>
      </c>
      <c r="B273" s="4">
        <v>0</v>
      </c>
      <c r="C273" s="4">
        <v>0</v>
      </c>
      <c r="D273" s="4">
        <v>2</v>
      </c>
      <c r="E273" s="4">
        <v>0</v>
      </c>
      <c r="F273" s="4">
        <f>ROUND(F274+F277+F278+F275,O273)</f>
        <v>0</v>
      </c>
      <c r="G273" s="4" t="s">
        <v>342</v>
      </c>
      <c r="H273" s="4" t="s">
        <v>343</v>
      </c>
      <c r="I273" s="4"/>
      <c r="J273" s="4"/>
      <c r="K273" s="4">
        <v>212</v>
      </c>
      <c r="L273" s="4">
        <v>72</v>
      </c>
      <c r="M273" s="4">
        <v>1</v>
      </c>
      <c r="N273" s="4" t="s">
        <v>2</v>
      </c>
      <c r="O273" s="4">
        <v>0</v>
      </c>
      <c r="P273" s="4"/>
      <c r="Q273" s="4"/>
      <c r="R273" s="4"/>
      <c r="S273" s="4"/>
      <c r="T273" s="4"/>
      <c r="U273" s="4"/>
      <c r="V273" s="4"/>
      <c r="W273" s="4"/>
    </row>
    <row r="274" spans="1:23" x14ac:dyDescent="0.2">
      <c r="A274" s="4">
        <v>50</v>
      </c>
      <c r="B274" s="4">
        <v>0</v>
      </c>
      <c r="C274" s="4">
        <v>0</v>
      </c>
      <c r="D274" s="4">
        <v>2</v>
      </c>
      <c r="E274" s="4">
        <v>0</v>
      </c>
      <c r="F274" s="4">
        <v>0</v>
      </c>
      <c r="G274" s="4" t="s">
        <v>344</v>
      </c>
      <c r="H274" s="4" t="s">
        <v>293</v>
      </c>
      <c r="I274" s="4"/>
      <c r="J274" s="4"/>
      <c r="K274" s="4">
        <v>212</v>
      </c>
      <c r="L274" s="4">
        <v>73</v>
      </c>
      <c r="M274" s="4">
        <v>3</v>
      </c>
      <c r="N274" s="4" t="s">
        <v>2</v>
      </c>
      <c r="O274" s="4">
        <v>0</v>
      </c>
      <c r="P274" s="4"/>
      <c r="Q274" s="4"/>
      <c r="R274" s="4"/>
      <c r="S274" s="4"/>
      <c r="T274" s="4"/>
      <c r="U274" s="4"/>
      <c r="V274" s="4"/>
      <c r="W274" s="4"/>
    </row>
    <row r="275" spans="1:23" x14ac:dyDescent="0.2">
      <c r="A275" s="4">
        <v>50</v>
      </c>
      <c r="B275" s="4">
        <v>0</v>
      </c>
      <c r="C275" s="4">
        <v>0</v>
      </c>
      <c r="D275" s="4">
        <v>2</v>
      </c>
      <c r="E275" s="4">
        <v>0</v>
      </c>
      <c r="F275" s="4">
        <v>0</v>
      </c>
      <c r="G275" s="4" t="s">
        <v>345</v>
      </c>
      <c r="H275" s="4" t="s">
        <v>295</v>
      </c>
      <c r="I275" s="4"/>
      <c r="J275" s="4"/>
      <c r="K275" s="4">
        <v>212</v>
      </c>
      <c r="L275" s="4">
        <v>74</v>
      </c>
      <c r="M275" s="4">
        <v>1</v>
      </c>
      <c r="N275" s="4" t="s">
        <v>2</v>
      </c>
      <c r="O275" s="4">
        <v>0</v>
      </c>
      <c r="P275" s="4"/>
      <c r="Q275" s="4"/>
      <c r="R275" s="4"/>
      <c r="S275" s="4"/>
      <c r="T275" s="4"/>
      <c r="U275" s="4"/>
      <c r="V275" s="4"/>
      <c r="W275" s="4"/>
    </row>
    <row r="276" spans="1:23" x14ac:dyDescent="0.2">
      <c r="A276" s="4">
        <v>50</v>
      </c>
      <c r="B276" s="4">
        <v>0</v>
      </c>
      <c r="C276" s="4">
        <v>0</v>
      </c>
      <c r="D276" s="4">
        <v>2</v>
      </c>
      <c r="E276" s="4">
        <v>0</v>
      </c>
      <c r="F276" s="4">
        <v>0</v>
      </c>
      <c r="G276" s="4" t="s">
        <v>346</v>
      </c>
      <c r="H276" s="4" t="s">
        <v>347</v>
      </c>
      <c r="I276" s="4"/>
      <c r="J276" s="4"/>
      <c r="K276" s="4">
        <v>212</v>
      </c>
      <c r="L276" s="4">
        <v>75</v>
      </c>
      <c r="M276" s="4">
        <v>1</v>
      </c>
      <c r="N276" s="4" t="s">
        <v>2</v>
      </c>
      <c r="O276" s="4">
        <v>0</v>
      </c>
      <c r="P276" s="4"/>
      <c r="Q276" s="4"/>
      <c r="R276" s="4"/>
      <c r="S276" s="4"/>
      <c r="T276" s="4"/>
      <c r="U276" s="4"/>
      <c r="V276" s="4"/>
      <c r="W276" s="4"/>
    </row>
    <row r="277" spans="1:23" x14ac:dyDescent="0.2">
      <c r="A277" s="4">
        <v>50</v>
      </c>
      <c r="B277" s="4">
        <v>0</v>
      </c>
      <c r="C277" s="4">
        <v>0</v>
      </c>
      <c r="D277" s="4">
        <v>2</v>
      </c>
      <c r="E277" s="4">
        <v>0</v>
      </c>
      <c r="F277" s="4">
        <v>0</v>
      </c>
      <c r="G277" s="4" t="s">
        <v>348</v>
      </c>
      <c r="H277" s="4" t="s">
        <v>298</v>
      </c>
      <c r="I277" s="4"/>
      <c r="J277" s="4"/>
      <c r="K277" s="4">
        <v>212</v>
      </c>
      <c r="L277" s="4">
        <v>76</v>
      </c>
      <c r="M277" s="4">
        <v>3</v>
      </c>
      <c r="N277" s="4" t="s">
        <v>2</v>
      </c>
      <c r="O277" s="4">
        <v>0</v>
      </c>
      <c r="P277" s="4"/>
      <c r="Q277" s="4"/>
      <c r="R277" s="4"/>
      <c r="S277" s="4"/>
      <c r="T277" s="4"/>
      <c r="U277" s="4"/>
      <c r="V277" s="4"/>
      <c r="W277" s="4"/>
    </row>
    <row r="278" spans="1:23" x14ac:dyDescent="0.2">
      <c r="A278" s="4">
        <v>50</v>
      </c>
      <c r="B278" s="4">
        <v>0</v>
      </c>
      <c r="C278" s="4">
        <v>0</v>
      </c>
      <c r="D278" s="4">
        <v>2</v>
      </c>
      <c r="E278" s="4">
        <v>0</v>
      </c>
      <c r="F278" s="4">
        <v>0</v>
      </c>
      <c r="G278" s="4" t="s">
        <v>349</v>
      </c>
      <c r="H278" s="4" t="s">
        <v>300</v>
      </c>
      <c r="I278" s="4"/>
      <c r="J278" s="4"/>
      <c r="K278" s="4">
        <v>212</v>
      </c>
      <c r="L278" s="4">
        <v>77</v>
      </c>
      <c r="M278" s="4">
        <v>3</v>
      </c>
      <c r="N278" s="4" t="s">
        <v>2</v>
      </c>
      <c r="O278" s="4">
        <v>0</v>
      </c>
      <c r="P278" s="4"/>
      <c r="Q278" s="4"/>
      <c r="R278" s="4"/>
      <c r="S278" s="4"/>
      <c r="T278" s="4"/>
      <c r="U278" s="4"/>
      <c r="V278" s="4"/>
      <c r="W278" s="4"/>
    </row>
    <row r="279" spans="1:23" x14ac:dyDescent="0.2">
      <c r="A279" s="4">
        <v>50</v>
      </c>
      <c r="B279" s="4">
        <v>0</v>
      </c>
      <c r="C279" s="4">
        <v>0</v>
      </c>
      <c r="D279" s="4">
        <v>2</v>
      </c>
      <c r="E279" s="4">
        <v>0</v>
      </c>
      <c r="F279" s="4">
        <v>0</v>
      </c>
      <c r="G279" s="4" t="s">
        <v>350</v>
      </c>
      <c r="H279" s="4" t="s">
        <v>302</v>
      </c>
      <c r="I279" s="4"/>
      <c r="J279" s="4"/>
      <c r="K279" s="4">
        <v>212</v>
      </c>
      <c r="L279" s="4">
        <v>78</v>
      </c>
      <c r="M279" s="4">
        <v>3</v>
      </c>
      <c r="N279" s="4" t="s">
        <v>2</v>
      </c>
      <c r="O279" s="4">
        <v>0</v>
      </c>
      <c r="P279" s="4"/>
      <c r="Q279" s="4"/>
      <c r="R279" s="4"/>
      <c r="S279" s="4"/>
      <c r="T279" s="4"/>
      <c r="U279" s="4"/>
      <c r="V279" s="4"/>
      <c r="W279" s="4"/>
    </row>
    <row r="280" spans="1:23" x14ac:dyDescent="0.2">
      <c r="A280" s="4">
        <v>50</v>
      </c>
      <c r="B280" s="4">
        <v>0</v>
      </c>
      <c r="C280" s="4">
        <v>0</v>
      </c>
      <c r="D280" s="4">
        <v>2</v>
      </c>
      <c r="E280" s="4">
        <v>0</v>
      </c>
      <c r="F280" s="4">
        <v>0</v>
      </c>
      <c r="G280" s="4" t="s">
        <v>351</v>
      </c>
      <c r="H280" s="4" t="s">
        <v>161</v>
      </c>
      <c r="I280" s="4"/>
      <c r="J280" s="4"/>
      <c r="K280" s="4">
        <v>212</v>
      </c>
      <c r="L280" s="4">
        <v>79</v>
      </c>
      <c r="M280" s="4">
        <v>3</v>
      </c>
      <c r="N280" s="4" t="s">
        <v>2</v>
      </c>
      <c r="O280" s="4">
        <v>0</v>
      </c>
      <c r="P280" s="4"/>
      <c r="Q280" s="4"/>
      <c r="R280" s="4"/>
      <c r="S280" s="4"/>
      <c r="T280" s="4"/>
      <c r="U280" s="4"/>
      <c r="V280" s="4"/>
      <c r="W280" s="4"/>
    </row>
    <row r="281" spans="1:23" x14ac:dyDescent="0.2">
      <c r="A281" s="4">
        <v>50</v>
      </c>
      <c r="B281" s="4">
        <v>0</v>
      </c>
      <c r="C281" s="4">
        <v>0</v>
      </c>
      <c r="D281" s="4">
        <v>2</v>
      </c>
      <c r="E281" s="4">
        <v>0</v>
      </c>
      <c r="F281" s="4">
        <v>0</v>
      </c>
      <c r="G281" s="4" t="s">
        <v>352</v>
      </c>
      <c r="H281" s="4" t="s">
        <v>163</v>
      </c>
      <c r="I281" s="4"/>
      <c r="J281" s="4"/>
      <c r="K281" s="4">
        <v>212</v>
      </c>
      <c r="L281" s="4">
        <v>80</v>
      </c>
      <c r="M281" s="4">
        <v>3</v>
      </c>
      <c r="N281" s="4" t="s">
        <v>2</v>
      </c>
      <c r="O281" s="4">
        <v>0</v>
      </c>
      <c r="P281" s="4"/>
      <c r="Q281" s="4"/>
      <c r="R281" s="4"/>
      <c r="S281" s="4"/>
      <c r="T281" s="4"/>
      <c r="U281" s="4"/>
      <c r="V281" s="4"/>
      <c r="W281" s="4"/>
    </row>
    <row r="282" spans="1:23" x14ac:dyDescent="0.2">
      <c r="A282" s="4">
        <v>50</v>
      </c>
      <c r="B282" s="4">
        <v>0</v>
      </c>
      <c r="C282" s="4">
        <v>0</v>
      </c>
      <c r="D282" s="4">
        <v>2</v>
      </c>
      <c r="E282" s="4">
        <v>0</v>
      </c>
      <c r="F282" s="4">
        <v>0</v>
      </c>
      <c r="G282" s="4" t="s">
        <v>353</v>
      </c>
      <c r="H282" s="4" t="s">
        <v>306</v>
      </c>
      <c r="I282" s="4"/>
      <c r="J282" s="4"/>
      <c r="K282" s="4">
        <v>212</v>
      </c>
      <c r="L282" s="4">
        <v>81</v>
      </c>
      <c r="M282" s="4">
        <v>1</v>
      </c>
      <c r="N282" s="4" t="s">
        <v>2</v>
      </c>
      <c r="O282" s="4">
        <v>0</v>
      </c>
      <c r="P282" s="4"/>
      <c r="Q282" s="4"/>
      <c r="R282" s="4"/>
      <c r="S282" s="4"/>
      <c r="T282" s="4"/>
      <c r="U282" s="4"/>
      <c r="V282" s="4"/>
      <c r="W282" s="4"/>
    </row>
    <row r="283" spans="1:23" x14ac:dyDescent="0.2">
      <c r="A283" s="4">
        <v>50</v>
      </c>
      <c r="B283" s="4">
        <v>0</v>
      </c>
      <c r="C283" s="4">
        <v>0</v>
      </c>
      <c r="D283" s="4">
        <v>2</v>
      </c>
      <c r="E283" s="4">
        <v>0</v>
      </c>
      <c r="F283" s="4">
        <v>0</v>
      </c>
      <c r="G283" s="4" t="s">
        <v>354</v>
      </c>
      <c r="H283" s="4" t="s">
        <v>308</v>
      </c>
      <c r="I283" s="4"/>
      <c r="J283" s="4"/>
      <c r="K283" s="4">
        <v>212</v>
      </c>
      <c r="L283" s="4">
        <v>82</v>
      </c>
      <c r="M283" s="4">
        <v>1</v>
      </c>
      <c r="N283" s="4" t="s">
        <v>2</v>
      </c>
      <c r="O283" s="4">
        <v>0</v>
      </c>
      <c r="P283" s="4"/>
      <c r="Q283" s="4"/>
      <c r="R283" s="4"/>
      <c r="S283" s="4"/>
      <c r="T283" s="4"/>
      <c r="U283" s="4"/>
      <c r="V283" s="4"/>
      <c r="W283" s="4"/>
    </row>
    <row r="284" spans="1:23" x14ac:dyDescent="0.2">
      <c r="A284" s="4">
        <v>50</v>
      </c>
      <c r="B284" s="4">
        <v>0</v>
      </c>
      <c r="C284" s="4">
        <v>0</v>
      </c>
      <c r="D284" s="4">
        <v>2</v>
      </c>
      <c r="E284" s="4">
        <v>0</v>
      </c>
      <c r="F284" s="4">
        <f>ROUND(F273+F282+F283,O284)</f>
        <v>0</v>
      </c>
      <c r="G284" s="4" t="s">
        <v>355</v>
      </c>
      <c r="H284" s="4" t="s">
        <v>356</v>
      </c>
      <c r="I284" s="4"/>
      <c r="J284" s="4"/>
      <c r="K284" s="4">
        <v>212</v>
      </c>
      <c r="L284" s="4">
        <v>83</v>
      </c>
      <c r="M284" s="4">
        <v>1</v>
      </c>
      <c r="N284" s="4" t="s">
        <v>357</v>
      </c>
      <c r="O284" s="4">
        <v>0</v>
      </c>
      <c r="P284" s="4"/>
      <c r="Q284" s="4"/>
      <c r="R284" s="4"/>
      <c r="S284" s="4"/>
      <c r="T284" s="4"/>
      <c r="U284" s="4"/>
      <c r="V284" s="4"/>
      <c r="W284" s="4"/>
    </row>
    <row r="285" spans="1:23" x14ac:dyDescent="0.2">
      <c r="A285" s="4">
        <v>50</v>
      </c>
      <c r="B285" s="4">
        <v>0</v>
      </c>
      <c r="C285" s="4">
        <v>0</v>
      </c>
      <c r="D285" s="4">
        <v>2</v>
      </c>
      <c r="E285" s="4">
        <v>0</v>
      </c>
      <c r="F285" s="4">
        <f>ROUND(F286+F289+F290+F287,O285)</f>
        <v>0</v>
      </c>
      <c r="G285" s="4" t="s">
        <v>358</v>
      </c>
      <c r="H285" s="4" t="s">
        <v>359</v>
      </c>
      <c r="I285" s="4"/>
      <c r="J285" s="4"/>
      <c r="K285" s="4">
        <v>212</v>
      </c>
      <c r="L285" s="4">
        <v>84</v>
      </c>
      <c r="M285" s="4">
        <v>1</v>
      </c>
      <c r="N285" s="4" t="s">
        <v>2</v>
      </c>
      <c r="O285" s="4">
        <v>0</v>
      </c>
      <c r="P285" s="4"/>
      <c r="Q285" s="4"/>
      <c r="R285" s="4"/>
      <c r="S285" s="4"/>
      <c r="T285" s="4"/>
      <c r="U285" s="4"/>
      <c r="V285" s="4"/>
      <c r="W285" s="4"/>
    </row>
    <row r="286" spans="1:23" x14ac:dyDescent="0.2">
      <c r="A286" s="4">
        <v>50</v>
      </c>
      <c r="B286" s="4">
        <v>0</v>
      </c>
      <c r="C286" s="4">
        <v>0</v>
      </c>
      <c r="D286" s="4">
        <v>2</v>
      </c>
      <c r="E286" s="4">
        <v>0</v>
      </c>
      <c r="F286" s="4">
        <v>0</v>
      </c>
      <c r="G286" s="4" t="s">
        <v>360</v>
      </c>
      <c r="H286" s="4" t="s">
        <v>293</v>
      </c>
      <c r="I286" s="4"/>
      <c r="J286" s="4"/>
      <c r="K286" s="4">
        <v>212</v>
      </c>
      <c r="L286" s="4">
        <v>85</v>
      </c>
      <c r="M286" s="4">
        <v>3</v>
      </c>
      <c r="N286" s="4" t="s">
        <v>2</v>
      </c>
      <c r="O286" s="4">
        <v>0</v>
      </c>
      <c r="P286" s="4"/>
      <c r="Q286" s="4"/>
      <c r="R286" s="4"/>
      <c r="S286" s="4"/>
      <c r="T286" s="4"/>
      <c r="U286" s="4"/>
      <c r="V286" s="4"/>
      <c r="W286" s="4"/>
    </row>
    <row r="287" spans="1:23" x14ac:dyDescent="0.2">
      <c r="A287" s="4">
        <v>50</v>
      </c>
      <c r="B287" s="4">
        <v>0</v>
      </c>
      <c r="C287" s="4">
        <v>0</v>
      </c>
      <c r="D287" s="4">
        <v>2</v>
      </c>
      <c r="E287" s="4">
        <v>0</v>
      </c>
      <c r="F287" s="4">
        <v>0</v>
      </c>
      <c r="G287" s="4" t="s">
        <v>361</v>
      </c>
      <c r="H287" s="4" t="s">
        <v>295</v>
      </c>
      <c r="I287" s="4"/>
      <c r="J287" s="4"/>
      <c r="K287" s="4">
        <v>212</v>
      </c>
      <c r="L287" s="4">
        <v>86</v>
      </c>
      <c r="M287" s="4">
        <v>1</v>
      </c>
      <c r="N287" s="4" t="s">
        <v>2</v>
      </c>
      <c r="O287" s="4">
        <v>0</v>
      </c>
      <c r="P287" s="4"/>
      <c r="Q287" s="4"/>
      <c r="R287" s="4"/>
      <c r="S287" s="4"/>
      <c r="T287" s="4"/>
      <c r="U287" s="4"/>
      <c r="V287" s="4"/>
      <c r="W287" s="4"/>
    </row>
    <row r="288" spans="1:23" x14ac:dyDescent="0.2">
      <c r="A288" s="4">
        <v>50</v>
      </c>
      <c r="B288" s="4">
        <v>0</v>
      </c>
      <c r="C288" s="4">
        <v>0</v>
      </c>
      <c r="D288" s="4">
        <v>2</v>
      </c>
      <c r="E288" s="4">
        <v>0</v>
      </c>
      <c r="F288" s="4">
        <v>0</v>
      </c>
      <c r="G288" s="4" t="s">
        <v>362</v>
      </c>
      <c r="H288" s="4" t="s">
        <v>159</v>
      </c>
      <c r="I288" s="4"/>
      <c r="J288" s="4"/>
      <c r="K288" s="4">
        <v>212</v>
      </c>
      <c r="L288" s="4">
        <v>87</v>
      </c>
      <c r="M288" s="4">
        <v>1</v>
      </c>
      <c r="N288" s="4" t="s">
        <v>2</v>
      </c>
      <c r="O288" s="4">
        <v>0</v>
      </c>
      <c r="P288" s="4"/>
      <c r="Q288" s="4"/>
      <c r="R288" s="4"/>
      <c r="S288" s="4"/>
      <c r="T288" s="4"/>
      <c r="U288" s="4"/>
      <c r="V288" s="4"/>
      <c r="W288" s="4"/>
    </row>
    <row r="289" spans="1:23" x14ac:dyDescent="0.2">
      <c r="A289" s="4">
        <v>50</v>
      </c>
      <c r="B289" s="4">
        <v>0</v>
      </c>
      <c r="C289" s="4">
        <v>0</v>
      </c>
      <c r="D289" s="4">
        <v>2</v>
      </c>
      <c r="E289" s="4">
        <v>0</v>
      </c>
      <c r="F289" s="4">
        <v>0</v>
      </c>
      <c r="G289" s="4" t="s">
        <v>363</v>
      </c>
      <c r="H289" s="4" t="s">
        <v>298</v>
      </c>
      <c r="I289" s="4"/>
      <c r="J289" s="4"/>
      <c r="K289" s="4">
        <v>212</v>
      </c>
      <c r="L289" s="4">
        <v>88</v>
      </c>
      <c r="M289" s="4">
        <v>3</v>
      </c>
      <c r="N289" s="4" t="s">
        <v>2</v>
      </c>
      <c r="O289" s="4">
        <v>0</v>
      </c>
      <c r="P289" s="4"/>
      <c r="Q289" s="4"/>
      <c r="R289" s="4"/>
      <c r="S289" s="4"/>
      <c r="T289" s="4"/>
      <c r="U289" s="4"/>
      <c r="V289" s="4"/>
      <c r="W289" s="4"/>
    </row>
    <row r="290" spans="1:23" x14ac:dyDescent="0.2">
      <c r="A290" s="4">
        <v>50</v>
      </c>
      <c r="B290" s="4">
        <v>0</v>
      </c>
      <c r="C290" s="4">
        <v>0</v>
      </c>
      <c r="D290" s="4">
        <v>2</v>
      </c>
      <c r="E290" s="4">
        <v>0</v>
      </c>
      <c r="F290" s="4">
        <v>0</v>
      </c>
      <c r="G290" s="4" t="s">
        <v>364</v>
      </c>
      <c r="H290" s="4" t="s">
        <v>300</v>
      </c>
      <c r="I290" s="4"/>
      <c r="J290" s="4"/>
      <c r="K290" s="4">
        <v>212</v>
      </c>
      <c r="L290" s="4">
        <v>89</v>
      </c>
      <c r="M290" s="4">
        <v>3</v>
      </c>
      <c r="N290" s="4" t="s">
        <v>2</v>
      </c>
      <c r="O290" s="4">
        <v>0</v>
      </c>
      <c r="P290" s="4"/>
      <c r="Q290" s="4"/>
      <c r="R290" s="4"/>
      <c r="S290" s="4"/>
      <c r="T290" s="4"/>
      <c r="U290" s="4"/>
      <c r="V290" s="4"/>
      <c r="W290" s="4"/>
    </row>
    <row r="291" spans="1:23" x14ac:dyDescent="0.2">
      <c r="A291" s="4">
        <v>50</v>
      </c>
      <c r="B291" s="4">
        <v>0</v>
      </c>
      <c r="C291" s="4">
        <v>0</v>
      </c>
      <c r="D291" s="4">
        <v>2</v>
      </c>
      <c r="E291" s="4">
        <v>0</v>
      </c>
      <c r="F291" s="4">
        <v>0</v>
      </c>
      <c r="G291" s="4" t="s">
        <v>365</v>
      </c>
      <c r="H291" s="4" t="s">
        <v>302</v>
      </c>
      <c r="I291" s="4"/>
      <c r="J291" s="4"/>
      <c r="K291" s="4">
        <v>212</v>
      </c>
      <c r="L291" s="4">
        <v>90</v>
      </c>
      <c r="M291" s="4">
        <v>3</v>
      </c>
      <c r="N291" s="4" t="s">
        <v>2</v>
      </c>
      <c r="O291" s="4">
        <v>0</v>
      </c>
      <c r="P291" s="4"/>
      <c r="Q291" s="4"/>
      <c r="R291" s="4"/>
      <c r="S291" s="4"/>
      <c r="T291" s="4"/>
      <c r="U291" s="4"/>
      <c r="V291" s="4"/>
      <c r="W291" s="4"/>
    </row>
    <row r="292" spans="1:23" x14ac:dyDescent="0.2">
      <c r="A292" s="4">
        <v>50</v>
      </c>
      <c r="B292" s="4">
        <v>0</v>
      </c>
      <c r="C292" s="4">
        <v>0</v>
      </c>
      <c r="D292" s="4">
        <v>2</v>
      </c>
      <c r="E292" s="4">
        <v>0</v>
      </c>
      <c r="F292" s="4">
        <v>0</v>
      </c>
      <c r="G292" s="4" t="s">
        <v>366</v>
      </c>
      <c r="H292" s="4" t="s">
        <v>161</v>
      </c>
      <c r="I292" s="4"/>
      <c r="J292" s="4"/>
      <c r="K292" s="4">
        <v>212</v>
      </c>
      <c r="L292" s="4">
        <v>91</v>
      </c>
      <c r="M292" s="4">
        <v>3</v>
      </c>
      <c r="N292" s="4" t="s">
        <v>2</v>
      </c>
      <c r="O292" s="4">
        <v>0</v>
      </c>
      <c r="P292" s="4"/>
      <c r="Q292" s="4"/>
      <c r="R292" s="4"/>
      <c r="S292" s="4"/>
      <c r="T292" s="4"/>
      <c r="U292" s="4"/>
      <c r="V292" s="4"/>
      <c r="W292" s="4"/>
    </row>
    <row r="293" spans="1:23" x14ac:dyDescent="0.2">
      <c r="A293" s="4">
        <v>50</v>
      </c>
      <c r="B293" s="4">
        <v>0</v>
      </c>
      <c r="C293" s="4">
        <v>0</v>
      </c>
      <c r="D293" s="4">
        <v>2</v>
      </c>
      <c r="E293" s="4">
        <v>0</v>
      </c>
      <c r="F293" s="4">
        <v>0</v>
      </c>
      <c r="G293" s="4" t="s">
        <v>367</v>
      </c>
      <c r="H293" s="4" t="s">
        <v>163</v>
      </c>
      <c r="I293" s="4"/>
      <c r="J293" s="4"/>
      <c r="K293" s="4">
        <v>212</v>
      </c>
      <c r="L293" s="4">
        <v>92</v>
      </c>
      <c r="M293" s="4">
        <v>3</v>
      </c>
      <c r="N293" s="4" t="s">
        <v>2</v>
      </c>
      <c r="O293" s="4">
        <v>0</v>
      </c>
      <c r="P293" s="4"/>
      <c r="Q293" s="4"/>
      <c r="R293" s="4"/>
      <c r="S293" s="4"/>
      <c r="T293" s="4"/>
      <c r="U293" s="4"/>
      <c r="V293" s="4"/>
      <c r="W293" s="4"/>
    </row>
    <row r="294" spans="1:23" x14ac:dyDescent="0.2">
      <c r="A294" s="4">
        <v>50</v>
      </c>
      <c r="B294" s="4">
        <v>0</v>
      </c>
      <c r="C294" s="4">
        <v>0</v>
      </c>
      <c r="D294" s="4">
        <v>2</v>
      </c>
      <c r="E294" s="4">
        <v>0</v>
      </c>
      <c r="F294" s="4">
        <v>0</v>
      </c>
      <c r="G294" s="4" t="s">
        <v>368</v>
      </c>
      <c r="H294" s="4" t="s">
        <v>306</v>
      </c>
      <c r="I294" s="4"/>
      <c r="J294" s="4"/>
      <c r="K294" s="4">
        <v>212</v>
      </c>
      <c r="L294" s="4">
        <v>93</v>
      </c>
      <c r="M294" s="4">
        <v>1</v>
      </c>
      <c r="N294" s="4" t="s">
        <v>2</v>
      </c>
      <c r="O294" s="4">
        <v>0</v>
      </c>
      <c r="P294" s="4"/>
      <c r="Q294" s="4"/>
      <c r="R294" s="4"/>
      <c r="S294" s="4"/>
      <c r="T294" s="4"/>
      <c r="U294" s="4"/>
      <c r="V294" s="4"/>
      <c r="W294" s="4"/>
    </row>
    <row r="295" spans="1:23" x14ac:dyDescent="0.2">
      <c r="A295" s="4">
        <v>50</v>
      </c>
      <c r="B295" s="4">
        <v>0</v>
      </c>
      <c r="C295" s="4">
        <v>0</v>
      </c>
      <c r="D295" s="4">
        <v>2</v>
      </c>
      <c r="E295" s="4">
        <v>0</v>
      </c>
      <c r="F295" s="4">
        <v>0</v>
      </c>
      <c r="G295" s="4" t="s">
        <v>369</v>
      </c>
      <c r="H295" s="4" t="s">
        <v>308</v>
      </c>
      <c r="I295" s="4"/>
      <c r="J295" s="4"/>
      <c r="K295" s="4">
        <v>212</v>
      </c>
      <c r="L295" s="4">
        <v>94</v>
      </c>
      <c r="M295" s="4">
        <v>1</v>
      </c>
      <c r="N295" s="4" t="s">
        <v>2</v>
      </c>
      <c r="O295" s="4">
        <v>0</v>
      </c>
      <c r="P295" s="4"/>
      <c r="Q295" s="4"/>
      <c r="R295" s="4"/>
      <c r="S295" s="4"/>
      <c r="T295" s="4"/>
      <c r="U295" s="4"/>
      <c r="V295" s="4"/>
      <c r="W295" s="4"/>
    </row>
    <row r="296" spans="1:23" x14ac:dyDescent="0.2">
      <c r="A296" s="4">
        <v>50</v>
      </c>
      <c r="B296" s="4">
        <v>0</v>
      </c>
      <c r="C296" s="4">
        <v>0</v>
      </c>
      <c r="D296" s="4">
        <v>2</v>
      </c>
      <c r="E296" s="4">
        <v>0</v>
      </c>
      <c r="F296" s="4">
        <f>ROUND(F285+F294+F295,O296)</f>
        <v>0</v>
      </c>
      <c r="G296" s="4" t="s">
        <v>370</v>
      </c>
      <c r="H296" s="4" t="s">
        <v>371</v>
      </c>
      <c r="I296" s="4"/>
      <c r="J296" s="4"/>
      <c r="K296" s="4">
        <v>212</v>
      </c>
      <c r="L296" s="4">
        <v>95</v>
      </c>
      <c r="M296" s="4">
        <v>1</v>
      </c>
      <c r="N296" s="4" t="s">
        <v>372</v>
      </c>
      <c r="O296" s="4">
        <v>0</v>
      </c>
      <c r="P296" s="4"/>
      <c r="Q296" s="4"/>
      <c r="R296" s="4"/>
      <c r="S296" s="4"/>
      <c r="T296" s="4"/>
      <c r="U296" s="4"/>
      <c r="V296" s="4"/>
      <c r="W296" s="4"/>
    </row>
    <row r="297" spans="1:23" x14ac:dyDescent="0.2">
      <c r="A297" s="4">
        <v>50</v>
      </c>
      <c r="B297" s="4">
        <v>1</v>
      </c>
      <c r="C297" s="4">
        <v>0</v>
      </c>
      <c r="D297" s="4">
        <v>2</v>
      </c>
      <c r="E297" s="4">
        <v>0</v>
      </c>
      <c r="F297" s="4">
        <f>ROUND(F298+F301+F302+F299,O297)</f>
        <v>406</v>
      </c>
      <c r="G297" s="4" t="s">
        <v>373</v>
      </c>
      <c r="H297" s="4" t="s">
        <v>374</v>
      </c>
      <c r="I297" s="4"/>
      <c r="J297" s="4"/>
      <c r="K297" s="4">
        <v>212</v>
      </c>
      <c r="L297" s="4">
        <v>96</v>
      </c>
      <c r="M297" s="4">
        <v>1</v>
      </c>
      <c r="N297" s="4" t="s">
        <v>2</v>
      </c>
      <c r="O297" s="4">
        <v>0</v>
      </c>
      <c r="P297" s="4"/>
      <c r="Q297" s="4"/>
      <c r="R297" s="4"/>
      <c r="S297" s="4"/>
      <c r="T297" s="4"/>
      <c r="U297" s="4"/>
      <c r="V297" s="4"/>
      <c r="W297" s="4"/>
    </row>
    <row r="298" spans="1:23" x14ac:dyDescent="0.2">
      <c r="A298" s="4">
        <v>50</v>
      </c>
      <c r="B298" s="4">
        <v>0</v>
      </c>
      <c r="C298" s="4">
        <v>0</v>
      </c>
      <c r="D298" s="4">
        <v>2</v>
      </c>
      <c r="E298" s="4">
        <v>0</v>
      </c>
      <c r="F298" s="4">
        <v>100</v>
      </c>
      <c r="G298" s="4" t="s">
        <v>375</v>
      </c>
      <c r="H298" s="4" t="s">
        <v>293</v>
      </c>
      <c r="I298" s="4"/>
      <c r="J298" s="4"/>
      <c r="K298" s="4">
        <v>212</v>
      </c>
      <c r="L298" s="4">
        <v>97</v>
      </c>
      <c r="M298" s="4">
        <v>3</v>
      </c>
      <c r="N298" s="4" t="s">
        <v>2</v>
      </c>
      <c r="O298" s="4">
        <v>0</v>
      </c>
      <c r="P298" s="4"/>
      <c r="Q298" s="4"/>
      <c r="R298" s="4"/>
      <c r="S298" s="4"/>
      <c r="T298" s="4"/>
      <c r="U298" s="4"/>
      <c r="V298" s="4"/>
      <c r="W298" s="4"/>
    </row>
    <row r="299" spans="1:23" x14ac:dyDescent="0.2">
      <c r="A299" s="4">
        <v>50</v>
      </c>
      <c r="B299" s="4">
        <v>0</v>
      </c>
      <c r="C299" s="4">
        <v>0</v>
      </c>
      <c r="D299" s="4">
        <v>2</v>
      </c>
      <c r="E299" s="4">
        <v>0</v>
      </c>
      <c r="F299" s="4">
        <v>0</v>
      </c>
      <c r="G299" s="4" t="s">
        <v>376</v>
      </c>
      <c r="H299" s="4" t="s">
        <v>295</v>
      </c>
      <c r="I299" s="4"/>
      <c r="J299" s="4"/>
      <c r="K299" s="4">
        <v>212</v>
      </c>
      <c r="L299" s="4">
        <v>98</v>
      </c>
      <c r="M299" s="4">
        <v>1</v>
      </c>
      <c r="N299" s="4" t="s">
        <v>2</v>
      </c>
      <c r="O299" s="4">
        <v>0</v>
      </c>
      <c r="P299" s="4"/>
      <c r="Q299" s="4"/>
      <c r="R299" s="4"/>
      <c r="S299" s="4"/>
      <c r="T299" s="4"/>
      <c r="U299" s="4"/>
      <c r="V299" s="4"/>
      <c r="W299" s="4"/>
    </row>
    <row r="300" spans="1:23" x14ac:dyDescent="0.2">
      <c r="A300" s="4">
        <v>50</v>
      </c>
      <c r="B300" s="4">
        <v>0</v>
      </c>
      <c r="C300" s="4">
        <v>0</v>
      </c>
      <c r="D300" s="4">
        <v>2</v>
      </c>
      <c r="E300" s="4">
        <v>0</v>
      </c>
      <c r="F300" s="4">
        <v>0</v>
      </c>
      <c r="G300" s="4" t="s">
        <v>377</v>
      </c>
      <c r="H300" s="4" t="s">
        <v>159</v>
      </c>
      <c r="I300" s="4"/>
      <c r="J300" s="4"/>
      <c r="K300" s="4">
        <v>212</v>
      </c>
      <c r="L300" s="4">
        <v>99</v>
      </c>
      <c r="M300" s="4">
        <v>1</v>
      </c>
      <c r="N300" s="4" t="s">
        <v>2</v>
      </c>
      <c r="O300" s="4">
        <v>0</v>
      </c>
      <c r="P300" s="4"/>
      <c r="Q300" s="4"/>
      <c r="R300" s="4"/>
      <c r="S300" s="4"/>
      <c r="T300" s="4"/>
      <c r="U300" s="4"/>
      <c r="V300" s="4"/>
      <c r="W300" s="4"/>
    </row>
    <row r="301" spans="1:23" x14ac:dyDescent="0.2">
      <c r="A301" s="4">
        <v>50</v>
      </c>
      <c r="B301" s="4">
        <v>0</v>
      </c>
      <c r="C301" s="4">
        <v>0</v>
      </c>
      <c r="D301" s="4">
        <v>2</v>
      </c>
      <c r="E301" s="4">
        <v>0</v>
      </c>
      <c r="F301" s="4">
        <v>272</v>
      </c>
      <c r="G301" s="4" t="s">
        <v>378</v>
      </c>
      <c r="H301" s="4" t="s">
        <v>298</v>
      </c>
      <c r="I301" s="4"/>
      <c r="J301" s="4"/>
      <c r="K301" s="4">
        <v>212</v>
      </c>
      <c r="L301" s="4">
        <v>100</v>
      </c>
      <c r="M301" s="4">
        <v>3</v>
      </c>
      <c r="N301" s="4" t="s">
        <v>2</v>
      </c>
      <c r="O301" s="4">
        <v>0</v>
      </c>
      <c r="P301" s="4"/>
      <c r="Q301" s="4"/>
      <c r="R301" s="4"/>
      <c r="S301" s="4"/>
      <c r="T301" s="4"/>
      <c r="U301" s="4"/>
      <c r="V301" s="4"/>
      <c r="W301" s="4"/>
    </row>
    <row r="302" spans="1:23" x14ac:dyDescent="0.2">
      <c r="A302" s="4">
        <v>50</v>
      </c>
      <c r="B302" s="4">
        <v>0</v>
      </c>
      <c r="C302" s="4">
        <v>0</v>
      </c>
      <c r="D302" s="4">
        <v>2</v>
      </c>
      <c r="E302" s="4">
        <v>0</v>
      </c>
      <c r="F302" s="4">
        <v>34</v>
      </c>
      <c r="G302" s="4" t="s">
        <v>379</v>
      </c>
      <c r="H302" s="4" t="s">
        <v>300</v>
      </c>
      <c r="I302" s="4"/>
      <c r="J302" s="4"/>
      <c r="K302" s="4">
        <v>212</v>
      </c>
      <c r="L302" s="4">
        <v>101</v>
      </c>
      <c r="M302" s="4">
        <v>3</v>
      </c>
      <c r="N302" s="4" t="s">
        <v>2</v>
      </c>
      <c r="O302" s="4">
        <v>0</v>
      </c>
      <c r="P302" s="4"/>
      <c r="Q302" s="4"/>
      <c r="R302" s="4"/>
      <c r="S302" s="4"/>
      <c r="T302" s="4"/>
      <c r="U302" s="4"/>
      <c r="V302" s="4"/>
      <c r="W302" s="4"/>
    </row>
    <row r="303" spans="1:23" x14ac:dyDescent="0.2">
      <c r="A303" s="4">
        <v>50</v>
      </c>
      <c r="B303" s="4">
        <v>0</v>
      </c>
      <c r="C303" s="4">
        <v>0</v>
      </c>
      <c r="D303" s="4">
        <v>2</v>
      </c>
      <c r="E303" s="4">
        <v>0</v>
      </c>
      <c r="F303" s="4">
        <v>3</v>
      </c>
      <c r="G303" s="4" t="s">
        <v>380</v>
      </c>
      <c r="H303" s="4" t="s">
        <v>302</v>
      </c>
      <c r="I303" s="4"/>
      <c r="J303" s="4"/>
      <c r="K303" s="4">
        <v>212</v>
      </c>
      <c r="L303" s="4">
        <v>102</v>
      </c>
      <c r="M303" s="4">
        <v>3</v>
      </c>
      <c r="N303" s="4" t="s">
        <v>2</v>
      </c>
      <c r="O303" s="4">
        <v>0</v>
      </c>
      <c r="P303" s="4"/>
      <c r="Q303" s="4"/>
      <c r="R303" s="4"/>
      <c r="S303" s="4"/>
      <c r="T303" s="4"/>
      <c r="U303" s="4"/>
      <c r="V303" s="4"/>
      <c r="W303" s="4"/>
    </row>
    <row r="304" spans="1:23" x14ac:dyDescent="0.2">
      <c r="A304" s="4">
        <v>50</v>
      </c>
      <c r="B304" s="4">
        <v>0</v>
      </c>
      <c r="C304" s="4">
        <v>0</v>
      </c>
      <c r="D304" s="4">
        <v>2</v>
      </c>
      <c r="E304" s="4">
        <v>0</v>
      </c>
      <c r="F304" s="4">
        <v>31</v>
      </c>
      <c r="G304" s="4" t="s">
        <v>381</v>
      </c>
      <c r="H304" s="4" t="s">
        <v>161</v>
      </c>
      <c r="I304" s="4"/>
      <c r="J304" s="4"/>
      <c r="K304" s="4">
        <v>212</v>
      </c>
      <c r="L304" s="4">
        <v>103</v>
      </c>
      <c r="M304" s="4">
        <v>3</v>
      </c>
      <c r="N304" s="4" t="s">
        <v>2</v>
      </c>
      <c r="O304" s="4">
        <v>0</v>
      </c>
      <c r="P304" s="4"/>
      <c r="Q304" s="4"/>
      <c r="R304" s="4"/>
      <c r="S304" s="4"/>
      <c r="T304" s="4"/>
      <c r="U304" s="4"/>
      <c r="V304" s="4"/>
      <c r="W304" s="4"/>
    </row>
    <row r="305" spans="1:23" x14ac:dyDescent="0.2">
      <c r="A305" s="4">
        <v>50</v>
      </c>
      <c r="B305" s="4">
        <v>0</v>
      </c>
      <c r="C305" s="4">
        <v>0</v>
      </c>
      <c r="D305" s="4">
        <v>2</v>
      </c>
      <c r="E305" s="4">
        <v>0</v>
      </c>
      <c r="F305" s="4">
        <v>0</v>
      </c>
      <c r="G305" s="4" t="s">
        <v>382</v>
      </c>
      <c r="H305" s="4" t="s">
        <v>163</v>
      </c>
      <c r="I305" s="4"/>
      <c r="J305" s="4"/>
      <c r="K305" s="4">
        <v>212</v>
      </c>
      <c r="L305" s="4">
        <v>104</v>
      </c>
      <c r="M305" s="4">
        <v>3</v>
      </c>
      <c r="N305" s="4" t="s">
        <v>2</v>
      </c>
      <c r="O305" s="4">
        <v>0</v>
      </c>
      <c r="P305" s="4"/>
      <c r="Q305" s="4"/>
      <c r="R305" s="4"/>
      <c r="S305" s="4"/>
      <c r="T305" s="4"/>
      <c r="U305" s="4"/>
      <c r="V305" s="4"/>
      <c r="W305" s="4"/>
    </row>
    <row r="306" spans="1:23" x14ac:dyDescent="0.2">
      <c r="A306" s="4">
        <v>50</v>
      </c>
      <c r="B306" s="4">
        <v>1</v>
      </c>
      <c r="C306" s="4">
        <v>0</v>
      </c>
      <c r="D306" s="4">
        <v>2</v>
      </c>
      <c r="E306" s="4">
        <v>0</v>
      </c>
      <c r="F306" s="4">
        <v>335</v>
      </c>
      <c r="G306" s="4" t="s">
        <v>383</v>
      </c>
      <c r="H306" s="4" t="s">
        <v>306</v>
      </c>
      <c r="I306" s="4"/>
      <c r="J306" s="4"/>
      <c r="K306" s="4">
        <v>212</v>
      </c>
      <c r="L306" s="4">
        <v>105</v>
      </c>
      <c r="M306" s="4">
        <v>1</v>
      </c>
      <c r="N306" s="4" t="s">
        <v>2</v>
      </c>
      <c r="O306" s="4">
        <v>0</v>
      </c>
      <c r="P306" s="4"/>
      <c r="Q306" s="4"/>
      <c r="R306" s="4"/>
      <c r="S306" s="4"/>
      <c r="T306" s="4"/>
      <c r="U306" s="4"/>
      <c r="V306" s="4"/>
      <c r="W306" s="4"/>
    </row>
    <row r="307" spans="1:23" x14ac:dyDescent="0.2">
      <c r="A307" s="4">
        <v>50</v>
      </c>
      <c r="B307" s="4">
        <v>1</v>
      </c>
      <c r="C307" s="4">
        <v>0</v>
      </c>
      <c r="D307" s="4">
        <v>2</v>
      </c>
      <c r="E307" s="4">
        <v>0</v>
      </c>
      <c r="F307" s="4">
        <v>190</v>
      </c>
      <c r="G307" s="4" t="s">
        <v>384</v>
      </c>
      <c r="H307" s="4" t="s">
        <v>308</v>
      </c>
      <c r="I307" s="4"/>
      <c r="J307" s="4"/>
      <c r="K307" s="4">
        <v>212</v>
      </c>
      <c r="L307" s="4">
        <v>106</v>
      </c>
      <c r="M307" s="4">
        <v>1</v>
      </c>
      <c r="N307" s="4" t="s">
        <v>2</v>
      </c>
      <c r="O307" s="4">
        <v>0</v>
      </c>
      <c r="P307" s="4"/>
      <c r="Q307" s="4"/>
      <c r="R307" s="4"/>
      <c r="S307" s="4"/>
      <c r="T307" s="4"/>
      <c r="U307" s="4"/>
      <c r="V307" s="4"/>
      <c r="W307" s="4"/>
    </row>
    <row r="308" spans="1:23" x14ac:dyDescent="0.2">
      <c r="A308" s="4">
        <v>50</v>
      </c>
      <c r="B308" s="4">
        <v>1</v>
      </c>
      <c r="C308" s="4">
        <v>0</v>
      </c>
      <c r="D308" s="4">
        <v>2</v>
      </c>
      <c r="E308" s="4">
        <v>0</v>
      </c>
      <c r="F308" s="4">
        <f>ROUND(F297+F306+F307,O308)</f>
        <v>931</v>
      </c>
      <c r="G308" s="4" t="s">
        <v>385</v>
      </c>
      <c r="H308" s="4" t="s">
        <v>386</v>
      </c>
      <c r="I308" s="4"/>
      <c r="J308" s="4"/>
      <c r="K308" s="4">
        <v>212</v>
      </c>
      <c r="L308" s="4">
        <v>107</v>
      </c>
      <c r="M308" s="4">
        <v>1</v>
      </c>
      <c r="N308" s="4" t="s">
        <v>387</v>
      </c>
      <c r="O308" s="4">
        <v>0</v>
      </c>
      <c r="P308" s="4"/>
      <c r="Q308" s="4"/>
      <c r="R308" s="4"/>
      <c r="S308" s="4"/>
      <c r="T308" s="4"/>
      <c r="U308" s="4"/>
      <c r="V308" s="4"/>
      <c r="W308" s="4"/>
    </row>
    <row r="309" spans="1:23" x14ac:dyDescent="0.2">
      <c r="A309" s="4">
        <v>50</v>
      </c>
      <c r="B309" s="4">
        <v>0</v>
      </c>
      <c r="C309" s="4">
        <v>0</v>
      </c>
      <c r="D309" s="4">
        <v>2</v>
      </c>
      <c r="E309" s="4">
        <v>0</v>
      </c>
      <c r="F309" s="4">
        <f>ROUND(F310+F313+F314+F311,O309)</f>
        <v>0</v>
      </c>
      <c r="G309" s="4" t="s">
        <v>388</v>
      </c>
      <c r="H309" s="4" t="s">
        <v>389</v>
      </c>
      <c r="I309" s="4"/>
      <c r="J309" s="4"/>
      <c r="K309" s="4">
        <v>212</v>
      </c>
      <c r="L309" s="4">
        <v>108</v>
      </c>
      <c r="M309" s="4">
        <v>1</v>
      </c>
      <c r="N309" s="4" t="s">
        <v>2</v>
      </c>
      <c r="O309" s="4">
        <v>0</v>
      </c>
      <c r="P309" s="4"/>
      <c r="Q309" s="4"/>
      <c r="R309" s="4"/>
      <c r="S309" s="4"/>
      <c r="T309" s="4"/>
      <c r="U309" s="4"/>
      <c r="V309" s="4"/>
      <c r="W309" s="4"/>
    </row>
    <row r="310" spans="1:23" x14ac:dyDescent="0.2">
      <c r="A310" s="4">
        <v>50</v>
      </c>
      <c r="B310" s="4">
        <v>0</v>
      </c>
      <c r="C310" s="4">
        <v>0</v>
      </c>
      <c r="D310" s="4">
        <v>2</v>
      </c>
      <c r="E310" s="4">
        <v>0</v>
      </c>
      <c r="F310" s="4">
        <v>0</v>
      </c>
      <c r="G310" s="4" t="s">
        <v>390</v>
      </c>
      <c r="H310" s="4" t="s">
        <v>293</v>
      </c>
      <c r="I310" s="4"/>
      <c r="J310" s="4"/>
      <c r="K310" s="4">
        <v>212</v>
      </c>
      <c r="L310" s="4">
        <v>109</v>
      </c>
      <c r="M310" s="4">
        <v>3</v>
      </c>
      <c r="N310" s="4" t="s">
        <v>2</v>
      </c>
      <c r="O310" s="4">
        <v>0</v>
      </c>
      <c r="P310" s="4"/>
      <c r="Q310" s="4"/>
      <c r="R310" s="4"/>
      <c r="S310" s="4"/>
      <c r="T310" s="4"/>
      <c r="U310" s="4"/>
      <c r="V310" s="4"/>
      <c r="W310" s="4"/>
    </row>
    <row r="311" spans="1:23" x14ac:dyDescent="0.2">
      <c r="A311" s="4">
        <v>50</v>
      </c>
      <c r="B311" s="4">
        <v>0</v>
      </c>
      <c r="C311" s="4">
        <v>0</v>
      </c>
      <c r="D311" s="4">
        <v>2</v>
      </c>
      <c r="E311" s="4">
        <v>0</v>
      </c>
      <c r="F311" s="4">
        <v>0</v>
      </c>
      <c r="G311" s="4" t="s">
        <v>391</v>
      </c>
      <c r="H311" s="4" t="s">
        <v>295</v>
      </c>
      <c r="I311" s="4"/>
      <c r="J311" s="4"/>
      <c r="K311" s="4">
        <v>212</v>
      </c>
      <c r="L311" s="4">
        <v>110</v>
      </c>
      <c r="M311" s="4">
        <v>1</v>
      </c>
      <c r="N311" s="4" t="s">
        <v>2</v>
      </c>
      <c r="O311" s="4">
        <v>0</v>
      </c>
      <c r="P311" s="4"/>
      <c r="Q311" s="4"/>
      <c r="R311" s="4"/>
      <c r="S311" s="4"/>
      <c r="T311" s="4"/>
      <c r="U311" s="4"/>
      <c r="V311" s="4"/>
      <c r="W311" s="4"/>
    </row>
    <row r="312" spans="1:23" x14ac:dyDescent="0.2">
      <c r="A312" s="4">
        <v>50</v>
      </c>
      <c r="B312" s="4">
        <v>0</v>
      </c>
      <c r="C312" s="4">
        <v>0</v>
      </c>
      <c r="D312" s="4">
        <v>2</v>
      </c>
      <c r="E312" s="4">
        <v>0</v>
      </c>
      <c r="F312" s="4">
        <v>0</v>
      </c>
      <c r="G312" s="4" t="s">
        <v>392</v>
      </c>
      <c r="H312" s="4" t="s">
        <v>347</v>
      </c>
      <c r="I312" s="4"/>
      <c r="J312" s="4"/>
      <c r="K312" s="4">
        <v>212</v>
      </c>
      <c r="L312" s="4">
        <v>111</v>
      </c>
      <c r="M312" s="4">
        <v>1</v>
      </c>
      <c r="N312" s="4" t="s">
        <v>2</v>
      </c>
      <c r="O312" s="4">
        <v>0</v>
      </c>
      <c r="P312" s="4"/>
      <c r="Q312" s="4"/>
      <c r="R312" s="4"/>
      <c r="S312" s="4"/>
      <c r="T312" s="4"/>
      <c r="U312" s="4"/>
      <c r="V312" s="4"/>
      <c r="W312" s="4"/>
    </row>
    <row r="313" spans="1:23" x14ac:dyDescent="0.2">
      <c r="A313" s="4">
        <v>50</v>
      </c>
      <c r="B313" s="4">
        <v>0</v>
      </c>
      <c r="C313" s="4">
        <v>0</v>
      </c>
      <c r="D313" s="4">
        <v>2</v>
      </c>
      <c r="E313" s="4">
        <v>0</v>
      </c>
      <c r="F313" s="4">
        <v>0</v>
      </c>
      <c r="G313" s="4" t="s">
        <v>393</v>
      </c>
      <c r="H313" s="4" t="s">
        <v>298</v>
      </c>
      <c r="I313" s="4"/>
      <c r="J313" s="4"/>
      <c r="K313" s="4">
        <v>212</v>
      </c>
      <c r="L313" s="4">
        <v>112</v>
      </c>
      <c r="M313" s="4">
        <v>3</v>
      </c>
      <c r="N313" s="4" t="s">
        <v>2</v>
      </c>
      <c r="O313" s="4">
        <v>0</v>
      </c>
      <c r="P313" s="4"/>
      <c r="Q313" s="4"/>
      <c r="R313" s="4"/>
      <c r="S313" s="4"/>
      <c r="T313" s="4"/>
      <c r="U313" s="4"/>
      <c r="V313" s="4"/>
      <c r="W313" s="4"/>
    </row>
    <row r="314" spans="1:23" x14ac:dyDescent="0.2">
      <c r="A314" s="4">
        <v>50</v>
      </c>
      <c r="B314" s="4">
        <v>0</v>
      </c>
      <c r="C314" s="4">
        <v>0</v>
      </c>
      <c r="D314" s="4">
        <v>2</v>
      </c>
      <c r="E314" s="4">
        <v>0</v>
      </c>
      <c r="F314" s="4">
        <v>0</v>
      </c>
      <c r="G314" s="4" t="s">
        <v>394</v>
      </c>
      <c r="H314" s="4" t="s">
        <v>300</v>
      </c>
      <c r="I314" s="4"/>
      <c r="J314" s="4"/>
      <c r="K314" s="4">
        <v>212</v>
      </c>
      <c r="L314" s="4">
        <v>113</v>
      </c>
      <c r="M314" s="4">
        <v>3</v>
      </c>
      <c r="N314" s="4" t="s">
        <v>2</v>
      </c>
      <c r="O314" s="4">
        <v>0</v>
      </c>
      <c r="P314" s="4"/>
      <c r="Q314" s="4"/>
      <c r="R314" s="4"/>
      <c r="S314" s="4"/>
      <c r="T314" s="4"/>
      <c r="U314" s="4"/>
      <c r="V314" s="4"/>
      <c r="W314" s="4"/>
    </row>
    <row r="315" spans="1:23" x14ac:dyDescent="0.2">
      <c r="A315" s="4">
        <v>50</v>
      </c>
      <c r="B315" s="4">
        <v>0</v>
      </c>
      <c r="C315" s="4">
        <v>0</v>
      </c>
      <c r="D315" s="4">
        <v>2</v>
      </c>
      <c r="E315" s="4">
        <v>0</v>
      </c>
      <c r="F315" s="4">
        <v>0</v>
      </c>
      <c r="G315" s="4" t="s">
        <v>395</v>
      </c>
      <c r="H315" s="4" t="s">
        <v>302</v>
      </c>
      <c r="I315" s="4"/>
      <c r="J315" s="4"/>
      <c r="K315" s="4">
        <v>212</v>
      </c>
      <c r="L315" s="4">
        <v>114</v>
      </c>
      <c r="M315" s="4">
        <v>3</v>
      </c>
      <c r="N315" s="4" t="s">
        <v>2</v>
      </c>
      <c r="O315" s="4">
        <v>0</v>
      </c>
      <c r="P315" s="4"/>
      <c r="Q315" s="4"/>
      <c r="R315" s="4"/>
      <c r="S315" s="4"/>
      <c r="T315" s="4"/>
      <c r="U315" s="4"/>
      <c r="V315" s="4"/>
      <c r="W315" s="4"/>
    </row>
    <row r="316" spans="1:23" x14ac:dyDescent="0.2">
      <c r="A316" s="4">
        <v>50</v>
      </c>
      <c r="B316" s="4">
        <v>0</v>
      </c>
      <c r="C316" s="4">
        <v>0</v>
      </c>
      <c r="D316" s="4">
        <v>2</v>
      </c>
      <c r="E316" s="4">
        <v>0</v>
      </c>
      <c r="F316" s="4">
        <v>0</v>
      </c>
      <c r="G316" s="4" t="s">
        <v>396</v>
      </c>
      <c r="H316" s="4" t="s">
        <v>161</v>
      </c>
      <c r="I316" s="4"/>
      <c r="J316" s="4"/>
      <c r="K316" s="4">
        <v>212</v>
      </c>
      <c r="L316" s="4">
        <v>115</v>
      </c>
      <c r="M316" s="4">
        <v>3</v>
      </c>
      <c r="N316" s="4" t="s">
        <v>2</v>
      </c>
      <c r="O316" s="4">
        <v>0</v>
      </c>
      <c r="P316" s="4"/>
      <c r="Q316" s="4"/>
      <c r="R316" s="4"/>
      <c r="S316" s="4"/>
      <c r="T316" s="4"/>
      <c r="U316" s="4"/>
      <c r="V316" s="4"/>
      <c r="W316" s="4"/>
    </row>
    <row r="317" spans="1:23" x14ac:dyDescent="0.2">
      <c r="A317" s="4">
        <v>50</v>
      </c>
      <c r="B317" s="4">
        <v>0</v>
      </c>
      <c r="C317" s="4">
        <v>0</v>
      </c>
      <c r="D317" s="4">
        <v>2</v>
      </c>
      <c r="E317" s="4">
        <v>0</v>
      </c>
      <c r="F317" s="4">
        <v>0</v>
      </c>
      <c r="G317" s="4" t="s">
        <v>397</v>
      </c>
      <c r="H317" s="4" t="s">
        <v>163</v>
      </c>
      <c r="I317" s="4"/>
      <c r="J317" s="4"/>
      <c r="K317" s="4">
        <v>212</v>
      </c>
      <c r="L317" s="4">
        <v>116</v>
      </c>
      <c r="M317" s="4">
        <v>3</v>
      </c>
      <c r="N317" s="4" t="s">
        <v>2</v>
      </c>
      <c r="O317" s="4">
        <v>0</v>
      </c>
      <c r="P317" s="4"/>
      <c r="Q317" s="4"/>
      <c r="R317" s="4"/>
      <c r="S317" s="4"/>
      <c r="T317" s="4"/>
      <c r="U317" s="4"/>
      <c r="V317" s="4"/>
      <c r="W317" s="4"/>
    </row>
    <row r="318" spans="1:23" x14ac:dyDescent="0.2">
      <c r="A318" s="4">
        <v>50</v>
      </c>
      <c r="B318" s="4">
        <v>0</v>
      </c>
      <c r="C318" s="4">
        <v>0</v>
      </c>
      <c r="D318" s="4">
        <v>2</v>
      </c>
      <c r="E318" s="4">
        <v>0</v>
      </c>
      <c r="F318" s="4">
        <v>0</v>
      </c>
      <c r="G318" s="4" t="s">
        <v>398</v>
      </c>
      <c r="H318" s="4" t="s">
        <v>306</v>
      </c>
      <c r="I318" s="4"/>
      <c r="J318" s="4"/>
      <c r="K318" s="4">
        <v>212</v>
      </c>
      <c r="L318" s="4">
        <v>117</v>
      </c>
      <c r="M318" s="4">
        <v>1</v>
      </c>
      <c r="N318" s="4" t="s">
        <v>2</v>
      </c>
      <c r="O318" s="4">
        <v>0</v>
      </c>
      <c r="P318" s="4"/>
      <c r="Q318" s="4"/>
      <c r="R318" s="4"/>
      <c r="S318" s="4"/>
      <c r="T318" s="4"/>
      <c r="U318" s="4"/>
      <c r="V318" s="4"/>
      <c r="W318" s="4"/>
    </row>
    <row r="319" spans="1:23" x14ac:dyDescent="0.2">
      <c r="A319" s="4">
        <v>50</v>
      </c>
      <c r="B319" s="4">
        <v>0</v>
      </c>
      <c r="C319" s="4">
        <v>0</v>
      </c>
      <c r="D319" s="4">
        <v>2</v>
      </c>
      <c r="E319" s="4">
        <v>0</v>
      </c>
      <c r="F319" s="4">
        <v>0</v>
      </c>
      <c r="G319" s="4" t="s">
        <v>399</v>
      </c>
      <c r="H319" s="4" t="s">
        <v>308</v>
      </c>
      <c r="I319" s="4"/>
      <c r="J319" s="4"/>
      <c r="K319" s="4">
        <v>212</v>
      </c>
      <c r="L319" s="4">
        <v>118</v>
      </c>
      <c r="M319" s="4">
        <v>1</v>
      </c>
      <c r="N319" s="4" t="s">
        <v>2</v>
      </c>
      <c r="O319" s="4">
        <v>0</v>
      </c>
      <c r="P319" s="4"/>
      <c r="Q319" s="4"/>
      <c r="R319" s="4"/>
      <c r="S319" s="4"/>
      <c r="T319" s="4"/>
      <c r="U319" s="4"/>
      <c r="V319" s="4"/>
      <c r="W319" s="4"/>
    </row>
    <row r="320" spans="1:23" x14ac:dyDescent="0.2">
      <c r="A320" s="4">
        <v>50</v>
      </c>
      <c r="B320" s="4">
        <v>0</v>
      </c>
      <c r="C320" s="4">
        <v>0</v>
      </c>
      <c r="D320" s="4">
        <v>2</v>
      </c>
      <c r="E320" s="4">
        <v>0</v>
      </c>
      <c r="F320" s="4">
        <f>ROUND(F309+F318+F319,O320)</f>
        <v>0</v>
      </c>
      <c r="G320" s="4" t="s">
        <v>400</v>
      </c>
      <c r="H320" s="4" t="s">
        <v>401</v>
      </c>
      <c r="I320" s="4"/>
      <c r="J320" s="4"/>
      <c r="K320" s="4">
        <v>212</v>
      </c>
      <c r="L320" s="4">
        <v>119</v>
      </c>
      <c r="M320" s="4">
        <v>1</v>
      </c>
      <c r="N320" s="4" t="s">
        <v>402</v>
      </c>
      <c r="O320" s="4">
        <v>0</v>
      </c>
      <c r="P320" s="4"/>
      <c r="Q320" s="4"/>
      <c r="R320" s="4"/>
      <c r="S320" s="4"/>
      <c r="T320" s="4"/>
      <c r="U320" s="4"/>
      <c r="V320" s="4"/>
      <c r="W320" s="4"/>
    </row>
    <row r="321" spans="1:23" x14ac:dyDescent="0.2">
      <c r="A321" s="4">
        <v>50</v>
      </c>
      <c r="B321" s="4">
        <v>0</v>
      </c>
      <c r="C321" s="4">
        <v>0</v>
      </c>
      <c r="D321" s="4">
        <v>2</v>
      </c>
      <c r="E321" s="4">
        <v>0</v>
      </c>
      <c r="F321" s="4">
        <f>ROUND(F322+F325+F326+F323,O321)</f>
        <v>0</v>
      </c>
      <c r="G321" s="4" t="s">
        <v>403</v>
      </c>
      <c r="H321" s="4" t="s">
        <v>404</v>
      </c>
      <c r="I321" s="4"/>
      <c r="J321" s="4"/>
      <c r="K321" s="4">
        <v>212</v>
      </c>
      <c r="L321" s="4">
        <v>120</v>
      </c>
      <c r="M321" s="4">
        <v>1</v>
      </c>
      <c r="N321" s="4" t="s">
        <v>2</v>
      </c>
      <c r="O321" s="4">
        <v>0</v>
      </c>
      <c r="P321" s="4"/>
      <c r="Q321" s="4"/>
      <c r="R321" s="4"/>
      <c r="S321" s="4"/>
      <c r="T321" s="4"/>
      <c r="U321" s="4"/>
      <c r="V321" s="4"/>
      <c r="W321" s="4"/>
    </row>
    <row r="322" spans="1:23" x14ac:dyDescent="0.2">
      <c r="A322" s="4">
        <v>50</v>
      </c>
      <c r="B322" s="4">
        <v>0</v>
      </c>
      <c r="C322" s="4">
        <v>0</v>
      </c>
      <c r="D322" s="4">
        <v>2</v>
      </c>
      <c r="E322" s="4">
        <v>0</v>
      </c>
      <c r="F322" s="4">
        <v>0</v>
      </c>
      <c r="G322" s="4" t="s">
        <v>405</v>
      </c>
      <c r="H322" s="4" t="s">
        <v>293</v>
      </c>
      <c r="I322" s="4"/>
      <c r="J322" s="4"/>
      <c r="K322" s="4">
        <v>212</v>
      </c>
      <c r="L322" s="4">
        <v>121</v>
      </c>
      <c r="M322" s="4">
        <v>3</v>
      </c>
      <c r="N322" s="4" t="s">
        <v>2</v>
      </c>
      <c r="O322" s="4">
        <v>0</v>
      </c>
      <c r="P322" s="4"/>
      <c r="Q322" s="4"/>
      <c r="R322" s="4"/>
      <c r="S322" s="4"/>
      <c r="T322" s="4"/>
      <c r="U322" s="4"/>
      <c r="V322" s="4"/>
      <c r="W322" s="4"/>
    </row>
    <row r="323" spans="1:23" x14ac:dyDescent="0.2">
      <c r="A323" s="4">
        <v>50</v>
      </c>
      <c r="B323" s="4">
        <v>0</v>
      </c>
      <c r="C323" s="4">
        <v>0</v>
      </c>
      <c r="D323" s="4">
        <v>2</v>
      </c>
      <c r="E323" s="4">
        <v>0</v>
      </c>
      <c r="F323" s="4">
        <v>0</v>
      </c>
      <c r="G323" s="4" t="s">
        <v>406</v>
      </c>
      <c r="H323" s="4" t="s">
        <v>295</v>
      </c>
      <c r="I323" s="4"/>
      <c r="J323" s="4"/>
      <c r="K323" s="4">
        <v>212</v>
      </c>
      <c r="L323" s="4">
        <v>122</v>
      </c>
      <c r="M323" s="4">
        <v>1</v>
      </c>
      <c r="N323" s="4" t="s">
        <v>2</v>
      </c>
      <c r="O323" s="4">
        <v>0</v>
      </c>
      <c r="P323" s="4"/>
      <c r="Q323" s="4"/>
      <c r="R323" s="4"/>
      <c r="S323" s="4"/>
      <c r="T323" s="4"/>
      <c r="U323" s="4"/>
      <c r="V323" s="4"/>
      <c r="W323" s="4"/>
    </row>
    <row r="324" spans="1:23" x14ac:dyDescent="0.2">
      <c r="A324" s="4">
        <v>50</v>
      </c>
      <c r="B324" s="4">
        <v>0</v>
      </c>
      <c r="C324" s="4">
        <v>0</v>
      </c>
      <c r="D324" s="4">
        <v>2</v>
      </c>
      <c r="E324" s="4">
        <v>0</v>
      </c>
      <c r="F324" s="4">
        <v>0</v>
      </c>
      <c r="G324" s="4" t="s">
        <v>407</v>
      </c>
      <c r="H324" s="4" t="s">
        <v>159</v>
      </c>
      <c r="I324" s="4"/>
      <c r="J324" s="4"/>
      <c r="K324" s="4">
        <v>212</v>
      </c>
      <c r="L324" s="4">
        <v>123</v>
      </c>
      <c r="M324" s="4">
        <v>1</v>
      </c>
      <c r="N324" s="4" t="s">
        <v>2</v>
      </c>
      <c r="O324" s="4">
        <v>0</v>
      </c>
      <c r="P324" s="4"/>
      <c r="Q324" s="4"/>
      <c r="R324" s="4"/>
      <c r="S324" s="4"/>
      <c r="T324" s="4"/>
      <c r="U324" s="4"/>
      <c r="V324" s="4"/>
      <c r="W324" s="4"/>
    </row>
    <row r="325" spans="1:23" x14ac:dyDescent="0.2">
      <c r="A325" s="4">
        <v>50</v>
      </c>
      <c r="B325" s="4">
        <v>0</v>
      </c>
      <c r="C325" s="4">
        <v>0</v>
      </c>
      <c r="D325" s="4">
        <v>2</v>
      </c>
      <c r="E325" s="4">
        <v>0</v>
      </c>
      <c r="F325" s="4">
        <v>0</v>
      </c>
      <c r="G325" s="4" t="s">
        <v>408</v>
      </c>
      <c r="H325" s="4" t="s">
        <v>298</v>
      </c>
      <c r="I325" s="4"/>
      <c r="J325" s="4"/>
      <c r="K325" s="4">
        <v>212</v>
      </c>
      <c r="L325" s="4">
        <v>124</v>
      </c>
      <c r="M325" s="4">
        <v>3</v>
      </c>
      <c r="N325" s="4" t="s">
        <v>2</v>
      </c>
      <c r="O325" s="4">
        <v>0</v>
      </c>
      <c r="P325" s="4"/>
      <c r="Q325" s="4"/>
      <c r="R325" s="4"/>
      <c r="S325" s="4"/>
      <c r="T325" s="4"/>
      <c r="U325" s="4"/>
      <c r="V325" s="4"/>
      <c r="W325" s="4"/>
    </row>
    <row r="326" spans="1:23" x14ac:dyDescent="0.2">
      <c r="A326" s="4">
        <v>50</v>
      </c>
      <c r="B326" s="4">
        <v>0</v>
      </c>
      <c r="C326" s="4">
        <v>0</v>
      </c>
      <c r="D326" s="4">
        <v>2</v>
      </c>
      <c r="E326" s="4">
        <v>0</v>
      </c>
      <c r="F326" s="4">
        <v>0</v>
      </c>
      <c r="G326" s="4" t="s">
        <v>409</v>
      </c>
      <c r="H326" s="4" t="s">
        <v>300</v>
      </c>
      <c r="I326" s="4"/>
      <c r="J326" s="4"/>
      <c r="K326" s="4">
        <v>212</v>
      </c>
      <c r="L326" s="4">
        <v>125</v>
      </c>
      <c r="M326" s="4">
        <v>3</v>
      </c>
      <c r="N326" s="4" t="s">
        <v>2</v>
      </c>
      <c r="O326" s="4">
        <v>0</v>
      </c>
      <c r="P326" s="4"/>
      <c r="Q326" s="4"/>
      <c r="R326" s="4"/>
      <c r="S326" s="4"/>
      <c r="T326" s="4"/>
      <c r="U326" s="4"/>
      <c r="V326" s="4"/>
      <c r="W326" s="4"/>
    </row>
    <row r="327" spans="1:23" x14ac:dyDescent="0.2">
      <c r="A327" s="4">
        <v>50</v>
      </c>
      <c r="B327" s="4">
        <v>0</v>
      </c>
      <c r="C327" s="4">
        <v>0</v>
      </c>
      <c r="D327" s="4">
        <v>2</v>
      </c>
      <c r="E327" s="4">
        <v>0</v>
      </c>
      <c r="F327" s="4">
        <v>0</v>
      </c>
      <c r="G327" s="4" t="s">
        <v>410</v>
      </c>
      <c r="H327" s="4" t="s">
        <v>302</v>
      </c>
      <c r="I327" s="4"/>
      <c r="J327" s="4"/>
      <c r="K327" s="4">
        <v>212</v>
      </c>
      <c r="L327" s="4">
        <v>126</v>
      </c>
      <c r="M327" s="4">
        <v>3</v>
      </c>
      <c r="N327" s="4" t="s">
        <v>2</v>
      </c>
      <c r="O327" s="4">
        <v>0</v>
      </c>
      <c r="P327" s="4"/>
      <c r="Q327" s="4"/>
      <c r="R327" s="4"/>
      <c r="S327" s="4"/>
      <c r="T327" s="4"/>
      <c r="U327" s="4"/>
      <c r="V327" s="4"/>
      <c r="W327" s="4"/>
    </row>
    <row r="328" spans="1:23" x14ac:dyDescent="0.2">
      <c r="A328" s="4">
        <v>50</v>
      </c>
      <c r="B328" s="4">
        <v>0</v>
      </c>
      <c r="C328" s="4">
        <v>0</v>
      </c>
      <c r="D328" s="4">
        <v>2</v>
      </c>
      <c r="E328" s="4">
        <v>0</v>
      </c>
      <c r="F328" s="4">
        <v>0</v>
      </c>
      <c r="G328" s="4" t="s">
        <v>411</v>
      </c>
      <c r="H328" s="4" t="s">
        <v>161</v>
      </c>
      <c r="I328" s="4"/>
      <c r="J328" s="4"/>
      <c r="K328" s="4">
        <v>212</v>
      </c>
      <c r="L328" s="4">
        <v>127</v>
      </c>
      <c r="M328" s="4">
        <v>3</v>
      </c>
      <c r="N328" s="4" t="s">
        <v>2</v>
      </c>
      <c r="O328" s="4">
        <v>0</v>
      </c>
      <c r="P328" s="4"/>
      <c r="Q328" s="4"/>
      <c r="R328" s="4"/>
      <c r="S328" s="4"/>
      <c r="T328" s="4"/>
      <c r="U328" s="4"/>
      <c r="V328" s="4"/>
      <c r="W328" s="4"/>
    </row>
    <row r="329" spans="1:23" x14ac:dyDescent="0.2">
      <c r="A329" s="4">
        <v>50</v>
      </c>
      <c r="B329" s="4">
        <v>0</v>
      </c>
      <c r="C329" s="4">
        <v>0</v>
      </c>
      <c r="D329" s="4">
        <v>2</v>
      </c>
      <c r="E329" s="4">
        <v>0</v>
      </c>
      <c r="F329" s="4">
        <v>0</v>
      </c>
      <c r="G329" s="4" t="s">
        <v>412</v>
      </c>
      <c r="H329" s="4" t="s">
        <v>163</v>
      </c>
      <c r="I329" s="4"/>
      <c r="J329" s="4"/>
      <c r="K329" s="4">
        <v>212</v>
      </c>
      <c r="L329" s="4">
        <v>128</v>
      </c>
      <c r="M329" s="4">
        <v>3</v>
      </c>
      <c r="N329" s="4" t="s">
        <v>2</v>
      </c>
      <c r="O329" s="4">
        <v>0</v>
      </c>
      <c r="P329" s="4"/>
      <c r="Q329" s="4"/>
      <c r="R329" s="4"/>
      <c r="S329" s="4"/>
      <c r="T329" s="4"/>
      <c r="U329" s="4"/>
      <c r="V329" s="4"/>
      <c r="W329" s="4"/>
    </row>
    <row r="330" spans="1:23" x14ac:dyDescent="0.2">
      <c r="A330" s="4">
        <v>50</v>
      </c>
      <c r="B330" s="4">
        <v>0</v>
      </c>
      <c r="C330" s="4">
        <v>0</v>
      </c>
      <c r="D330" s="4">
        <v>2</v>
      </c>
      <c r="E330" s="4">
        <v>0</v>
      </c>
      <c r="F330" s="4">
        <v>0</v>
      </c>
      <c r="G330" s="4" t="s">
        <v>413</v>
      </c>
      <c r="H330" s="4" t="s">
        <v>306</v>
      </c>
      <c r="I330" s="4"/>
      <c r="J330" s="4"/>
      <c r="K330" s="4">
        <v>212</v>
      </c>
      <c r="L330" s="4">
        <v>129</v>
      </c>
      <c r="M330" s="4">
        <v>1</v>
      </c>
      <c r="N330" s="4" t="s">
        <v>2</v>
      </c>
      <c r="O330" s="4">
        <v>0</v>
      </c>
      <c r="P330" s="4"/>
      <c r="Q330" s="4"/>
      <c r="R330" s="4"/>
      <c r="S330" s="4"/>
      <c r="T330" s="4"/>
      <c r="U330" s="4"/>
      <c r="V330" s="4"/>
      <c r="W330" s="4"/>
    </row>
    <row r="331" spans="1:23" x14ac:dyDescent="0.2">
      <c r="A331" s="4">
        <v>50</v>
      </c>
      <c r="B331" s="4">
        <v>0</v>
      </c>
      <c r="C331" s="4">
        <v>0</v>
      </c>
      <c r="D331" s="4">
        <v>2</v>
      </c>
      <c r="E331" s="4">
        <v>0</v>
      </c>
      <c r="F331" s="4">
        <v>0</v>
      </c>
      <c r="G331" s="4" t="s">
        <v>414</v>
      </c>
      <c r="H331" s="4" t="s">
        <v>308</v>
      </c>
      <c r="I331" s="4"/>
      <c r="J331" s="4"/>
      <c r="K331" s="4">
        <v>212</v>
      </c>
      <c r="L331" s="4">
        <v>130</v>
      </c>
      <c r="M331" s="4">
        <v>1</v>
      </c>
      <c r="N331" s="4" t="s">
        <v>2</v>
      </c>
      <c r="O331" s="4">
        <v>0</v>
      </c>
      <c r="P331" s="4"/>
      <c r="Q331" s="4"/>
      <c r="R331" s="4"/>
      <c r="S331" s="4"/>
      <c r="T331" s="4"/>
      <c r="U331" s="4"/>
      <c r="V331" s="4"/>
      <c r="W331" s="4"/>
    </row>
    <row r="332" spans="1:23" x14ac:dyDescent="0.2">
      <c r="A332" s="4">
        <v>50</v>
      </c>
      <c r="B332" s="4">
        <v>0</v>
      </c>
      <c r="C332" s="4">
        <v>0</v>
      </c>
      <c r="D332" s="4">
        <v>2</v>
      </c>
      <c r="E332" s="4">
        <v>0</v>
      </c>
      <c r="F332" s="4">
        <f>ROUND(F321+F330+F331,O332)</f>
        <v>0</v>
      </c>
      <c r="G332" s="4" t="s">
        <v>415</v>
      </c>
      <c r="H332" s="4" t="s">
        <v>416</v>
      </c>
      <c r="I332" s="4"/>
      <c r="J332" s="4"/>
      <c r="K332" s="4">
        <v>212</v>
      </c>
      <c r="L332" s="4">
        <v>131</v>
      </c>
      <c r="M332" s="4">
        <v>1</v>
      </c>
      <c r="N332" s="4" t="s">
        <v>417</v>
      </c>
      <c r="O332" s="4">
        <v>0</v>
      </c>
      <c r="P332" s="4"/>
      <c r="Q332" s="4"/>
      <c r="R332" s="4"/>
      <c r="S332" s="4"/>
      <c r="T332" s="4"/>
      <c r="U332" s="4"/>
      <c r="V332" s="4"/>
      <c r="W332" s="4"/>
    </row>
    <row r="333" spans="1:23" x14ac:dyDescent="0.2">
      <c r="A333" s="4">
        <v>50</v>
      </c>
      <c r="B333" s="4">
        <v>0</v>
      </c>
      <c r="C333" s="4">
        <v>0</v>
      </c>
      <c r="D333" s="4">
        <v>2</v>
      </c>
      <c r="E333" s="4">
        <v>0</v>
      </c>
      <c r="F333" s="4">
        <f>ROUND(F334+F337+F338+F335,O333)</f>
        <v>0</v>
      </c>
      <c r="G333" s="4" t="s">
        <v>418</v>
      </c>
      <c r="H333" s="4" t="s">
        <v>419</v>
      </c>
      <c r="I333" s="4"/>
      <c r="J333" s="4"/>
      <c r="K333" s="4">
        <v>212</v>
      </c>
      <c r="L333" s="4">
        <v>132</v>
      </c>
      <c r="M333" s="4">
        <v>1</v>
      </c>
      <c r="N333" s="4" t="s">
        <v>2</v>
      </c>
      <c r="O333" s="4">
        <v>0</v>
      </c>
      <c r="P333" s="4"/>
      <c r="Q333" s="4"/>
      <c r="R333" s="4"/>
      <c r="S333" s="4"/>
      <c r="T333" s="4"/>
      <c r="U333" s="4"/>
      <c r="V333" s="4"/>
      <c r="W333" s="4"/>
    </row>
    <row r="334" spans="1:23" x14ac:dyDescent="0.2">
      <c r="A334" s="4">
        <v>50</v>
      </c>
      <c r="B334" s="4">
        <v>0</v>
      </c>
      <c r="C334" s="4">
        <v>0</v>
      </c>
      <c r="D334" s="4">
        <v>2</v>
      </c>
      <c r="E334" s="4">
        <v>0</v>
      </c>
      <c r="F334" s="4">
        <v>0</v>
      </c>
      <c r="G334" s="4" t="s">
        <v>420</v>
      </c>
      <c r="H334" s="4" t="s">
        <v>293</v>
      </c>
      <c r="I334" s="4"/>
      <c r="J334" s="4"/>
      <c r="K334" s="4">
        <v>212</v>
      </c>
      <c r="L334" s="4">
        <v>133</v>
      </c>
      <c r="M334" s="4">
        <v>3</v>
      </c>
      <c r="N334" s="4" t="s">
        <v>2</v>
      </c>
      <c r="O334" s="4">
        <v>0</v>
      </c>
      <c r="P334" s="4"/>
      <c r="Q334" s="4"/>
      <c r="R334" s="4"/>
      <c r="S334" s="4"/>
      <c r="T334" s="4"/>
      <c r="U334" s="4"/>
      <c r="V334" s="4"/>
      <c r="W334" s="4"/>
    </row>
    <row r="335" spans="1:23" x14ac:dyDescent="0.2">
      <c r="A335" s="4">
        <v>50</v>
      </c>
      <c r="B335" s="4">
        <v>0</v>
      </c>
      <c r="C335" s="4">
        <v>0</v>
      </c>
      <c r="D335" s="4">
        <v>2</v>
      </c>
      <c r="E335" s="4">
        <v>0</v>
      </c>
      <c r="F335" s="4">
        <f>0</f>
        <v>0</v>
      </c>
      <c r="G335" s="4" t="s">
        <v>421</v>
      </c>
      <c r="H335" s="4" t="s">
        <v>295</v>
      </c>
      <c r="I335" s="4"/>
      <c r="J335" s="4"/>
      <c r="K335" s="4">
        <v>212</v>
      </c>
      <c r="L335" s="4">
        <v>134</v>
      </c>
      <c r="M335" s="4">
        <v>1</v>
      </c>
      <c r="N335" s="4" t="s">
        <v>2</v>
      </c>
      <c r="O335" s="4">
        <v>-1</v>
      </c>
      <c r="P335" s="4"/>
      <c r="Q335" s="4"/>
      <c r="R335" s="4"/>
      <c r="S335" s="4"/>
      <c r="T335" s="4"/>
      <c r="U335" s="4"/>
      <c r="V335" s="4"/>
      <c r="W335" s="4"/>
    </row>
    <row r="336" spans="1:23" x14ac:dyDescent="0.2">
      <c r="A336" s="4">
        <v>50</v>
      </c>
      <c r="B336" s="4">
        <v>0</v>
      </c>
      <c r="C336" s="4">
        <v>0</v>
      </c>
      <c r="D336" s="4">
        <v>2</v>
      </c>
      <c r="E336" s="4">
        <v>0</v>
      </c>
      <c r="F336" s="4">
        <v>0</v>
      </c>
      <c r="G336" s="4" t="s">
        <v>422</v>
      </c>
      <c r="H336" s="4" t="s">
        <v>347</v>
      </c>
      <c r="I336" s="4"/>
      <c r="J336" s="4"/>
      <c r="K336" s="4">
        <v>212</v>
      </c>
      <c r="L336" s="4">
        <v>135</v>
      </c>
      <c r="M336" s="4">
        <v>1</v>
      </c>
      <c r="N336" s="4" t="s">
        <v>2</v>
      </c>
      <c r="O336" s="4">
        <v>0</v>
      </c>
      <c r="P336" s="4"/>
      <c r="Q336" s="4"/>
      <c r="R336" s="4"/>
      <c r="S336" s="4"/>
      <c r="T336" s="4"/>
      <c r="U336" s="4"/>
      <c r="V336" s="4"/>
      <c r="W336" s="4"/>
    </row>
    <row r="337" spans="1:23" x14ac:dyDescent="0.2">
      <c r="A337" s="4">
        <v>50</v>
      </c>
      <c r="B337" s="4">
        <v>0</v>
      </c>
      <c r="C337" s="4">
        <v>0</v>
      </c>
      <c r="D337" s="4">
        <v>2</v>
      </c>
      <c r="E337" s="4">
        <v>0</v>
      </c>
      <c r="F337" s="4">
        <v>0</v>
      </c>
      <c r="G337" s="4" t="s">
        <v>423</v>
      </c>
      <c r="H337" s="4" t="s">
        <v>298</v>
      </c>
      <c r="I337" s="4"/>
      <c r="J337" s="4"/>
      <c r="K337" s="4">
        <v>212</v>
      </c>
      <c r="L337" s="4">
        <v>136</v>
      </c>
      <c r="M337" s="4">
        <v>3</v>
      </c>
      <c r="N337" s="4" t="s">
        <v>2</v>
      </c>
      <c r="O337" s="4">
        <v>0</v>
      </c>
      <c r="P337" s="4"/>
      <c r="Q337" s="4"/>
      <c r="R337" s="4"/>
      <c r="S337" s="4"/>
      <c r="T337" s="4"/>
      <c r="U337" s="4"/>
      <c r="V337" s="4"/>
      <c r="W337" s="4"/>
    </row>
    <row r="338" spans="1:23" x14ac:dyDescent="0.2">
      <c r="A338" s="4">
        <v>50</v>
      </c>
      <c r="B338" s="4">
        <v>0</v>
      </c>
      <c r="C338" s="4">
        <v>0</v>
      </c>
      <c r="D338" s="4">
        <v>2</v>
      </c>
      <c r="E338" s="4">
        <v>0</v>
      </c>
      <c r="F338" s="4">
        <v>0</v>
      </c>
      <c r="G338" s="4" t="s">
        <v>424</v>
      </c>
      <c r="H338" s="4" t="s">
        <v>300</v>
      </c>
      <c r="I338" s="4"/>
      <c r="J338" s="4"/>
      <c r="K338" s="4">
        <v>212</v>
      </c>
      <c r="L338" s="4">
        <v>137</v>
      </c>
      <c r="M338" s="4">
        <v>3</v>
      </c>
      <c r="N338" s="4" t="s">
        <v>2</v>
      </c>
      <c r="O338" s="4">
        <v>0</v>
      </c>
      <c r="P338" s="4"/>
      <c r="Q338" s="4"/>
      <c r="R338" s="4"/>
      <c r="S338" s="4"/>
      <c r="T338" s="4"/>
      <c r="U338" s="4"/>
      <c r="V338" s="4"/>
      <c r="W338" s="4"/>
    </row>
    <row r="339" spans="1:23" x14ac:dyDescent="0.2">
      <c r="A339" s="4">
        <v>50</v>
      </c>
      <c r="B339" s="4">
        <v>0</v>
      </c>
      <c r="C339" s="4">
        <v>0</v>
      </c>
      <c r="D339" s="4">
        <v>2</v>
      </c>
      <c r="E339" s="4">
        <v>0</v>
      </c>
      <c r="F339" s="4">
        <v>0</v>
      </c>
      <c r="G339" s="4" t="s">
        <v>425</v>
      </c>
      <c r="H339" s="4" t="s">
        <v>302</v>
      </c>
      <c r="I339" s="4"/>
      <c r="J339" s="4"/>
      <c r="K339" s="4">
        <v>212</v>
      </c>
      <c r="L339" s="4">
        <v>138</v>
      </c>
      <c r="M339" s="4">
        <v>3</v>
      </c>
      <c r="N339" s="4" t="s">
        <v>2</v>
      </c>
      <c r="O339" s="4">
        <v>0</v>
      </c>
      <c r="P339" s="4"/>
      <c r="Q339" s="4"/>
      <c r="R339" s="4"/>
      <c r="S339" s="4"/>
      <c r="T339" s="4"/>
      <c r="U339" s="4"/>
      <c r="V339" s="4"/>
      <c r="W339" s="4"/>
    </row>
    <row r="340" spans="1:23" x14ac:dyDescent="0.2">
      <c r="A340" s="4">
        <v>50</v>
      </c>
      <c r="B340" s="4">
        <v>0</v>
      </c>
      <c r="C340" s="4">
        <v>0</v>
      </c>
      <c r="D340" s="4">
        <v>2</v>
      </c>
      <c r="E340" s="4">
        <v>0</v>
      </c>
      <c r="F340" s="4">
        <v>0</v>
      </c>
      <c r="G340" s="4" t="s">
        <v>426</v>
      </c>
      <c r="H340" s="4" t="s">
        <v>161</v>
      </c>
      <c r="I340" s="4"/>
      <c r="J340" s="4"/>
      <c r="K340" s="4">
        <v>212</v>
      </c>
      <c r="L340" s="4">
        <v>139</v>
      </c>
      <c r="M340" s="4">
        <v>3</v>
      </c>
      <c r="N340" s="4" t="s">
        <v>2</v>
      </c>
      <c r="O340" s="4">
        <v>0</v>
      </c>
      <c r="P340" s="4"/>
      <c r="Q340" s="4"/>
      <c r="R340" s="4"/>
      <c r="S340" s="4"/>
      <c r="T340" s="4"/>
      <c r="U340" s="4"/>
      <c r="V340" s="4"/>
      <c r="W340" s="4"/>
    </row>
    <row r="341" spans="1:23" x14ac:dyDescent="0.2">
      <c r="A341" s="4">
        <v>50</v>
      </c>
      <c r="B341" s="4">
        <v>0</v>
      </c>
      <c r="C341" s="4">
        <v>0</v>
      </c>
      <c r="D341" s="4">
        <v>2</v>
      </c>
      <c r="E341" s="4">
        <v>0</v>
      </c>
      <c r="F341" s="4">
        <v>0</v>
      </c>
      <c r="G341" s="4" t="s">
        <v>427</v>
      </c>
      <c r="H341" s="4" t="s">
        <v>163</v>
      </c>
      <c r="I341" s="4"/>
      <c r="J341" s="4"/>
      <c r="K341" s="4">
        <v>212</v>
      </c>
      <c r="L341" s="4">
        <v>140</v>
      </c>
      <c r="M341" s="4">
        <v>3</v>
      </c>
      <c r="N341" s="4" t="s">
        <v>2</v>
      </c>
      <c r="O341" s="4">
        <v>0</v>
      </c>
      <c r="P341" s="4"/>
      <c r="Q341" s="4"/>
      <c r="R341" s="4"/>
      <c r="S341" s="4"/>
      <c r="T341" s="4"/>
      <c r="U341" s="4"/>
      <c r="V341" s="4"/>
      <c r="W341" s="4"/>
    </row>
    <row r="342" spans="1:23" x14ac:dyDescent="0.2">
      <c r="A342" s="4">
        <v>50</v>
      </c>
      <c r="B342" s="4">
        <v>0</v>
      </c>
      <c r="C342" s="4">
        <v>0</v>
      </c>
      <c r="D342" s="4">
        <v>2</v>
      </c>
      <c r="E342" s="4">
        <v>0</v>
      </c>
      <c r="F342" s="4">
        <v>0</v>
      </c>
      <c r="G342" s="4" t="s">
        <v>428</v>
      </c>
      <c r="H342" s="4" t="s">
        <v>306</v>
      </c>
      <c r="I342" s="4"/>
      <c r="J342" s="4"/>
      <c r="K342" s="4">
        <v>212</v>
      </c>
      <c r="L342" s="4">
        <v>141</v>
      </c>
      <c r="M342" s="4">
        <v>1</v>
      </c>
      <c r="N342" s="4" t="s">
        <v>2</v>
      </c>
      <c r="O342" s="4">
        <v>0</v>
      </c>
      <c r="P342" s="4"/>
      <c r="Q342" s="4"/>
      <c r="R342" s="4"/>
      <c r="S342" s="4"/>
      <c r="T342" s="4"/>
      <c r="U342" s="4"/>
      <c r="V342" s="4"/>
      <c r="W342" s="4"/>
    </row>
    <row r="343" spans="1:23" x14ac:dyDescent="0.2">
      <c r="A343" s="4">
        <v>50</v>
      </c>
      <c r="B343" s="4">
        <v>0</v>
      </c>
      <c r="C343" s="4">
        <v>0</v>
      </c>
      <c r="D343" s="4">
        <v>2</v>
      </c>
      <c r="E343" s="4">
        <v>0</v>
      </c>
      <c r="F343" s="4">
        <v>0</v>
      </c>
      <c r="G343" s="4" t="s">
        <v>429</v>
      </c>
      <c r="H343" s="4" t="s">
        <v>308</v>
      </c>
      <c r="I343" s="4"/>
      <c r="J343" s="4"/>
      <c r="K343" s="4">
        <v>212</v>
      </c>
      <c r="L343" s="4">
        <v>142</v>
      </c>
      <c r="M343" s="4">
        <v>1</v>
      </c>
      <c r="N343" s="4" t="s">
        <v>2</v>
      </c>
      <c r="O343" s="4">
        <v>0</v>
      </c>
      <c r="P343" s="4"/>
      <c r="Q343" s="4"/>
      <c r="R343" s="4"/>
      <c r="S343" s="4"/>
      <c r="T343" s="4"/>
      <c r="U343" s="4"/>
      <c r="V343" s="4"/>
      <c r="W343" s="4"/>
    </row>
    <row r="344" spans="1:23" x14ac:dyDescent="0.2">
      <c r="A344" s="4">
        <v>50</v>
      </c>
      <c r="B344" s="4">
        <v>0</v>
      </c>
      <c r="C344" s="4">
        <v>0</v>
      </c>
      <c r="D344" s="4">
        <v>2</v>
      </c>
      <c r="E344" s="4">
        <v>0</v>
      </c>
      <c r="F344" s="4">
        <f>ROUND(F333+F342+F343,O344)</f>
        <v>0</v>
      </c>
      <c r="G344" s="4" t="s">
        <v>430</v>
      </c>
      <c r="H344" s="4" t="s">
        <v>431</v>
      </c>
      <c r="I344" s="4"/>
      <c r="J344" s="4"/>
      <c r="K344" s="4">
        <v>212</v>
      </c>
      <c r="L344" s="4">
        <v>143</v>
      </c>
      <c r="M344" s="4">
        <v>1</v>
      </c>
      <c r="N344" s="4" t="s">
        <v>432</v>
      </c>
      <c r="O344" s="4">
        <v>0</v>
      </c>
      <c r="P344" s="4"/>
      <c r="Q344" s="4"/>
      <c r="R344" s="4"/>
      <c r="S344" s="4"/>
      <c r="T344" s="4"/>
      <c r="U344" s="4"/>
      <c r="V344" s="4"/>
      <c r="W344" s="4"/>
    </row>
    <row r="345" spans="1:23" x14ac:dyDescent="0.2">
      <c r="A345" s="4">
        <v>50</v>
      </c>
      <c r="B345" s="4">
        <v>0</v>
      </c>
      <c r="C345" s="4">
        <v>0</v>
      </c>
      <c r="D345" s="4">
        <v>2</v>
      </c>
      <c r="E345" s="4">
        <v>0</v>
      </c>
      <c r="F345" s="4">
        <f>ROUND(F346+F349+F350+F347,O345)</f>
        <v>0</v>
      </c>
      <c r="G345" s="4" t="s">
        <v>433</v>
      </c>
      <c r="H345" s="4" t="s">
        <v>434</v>
      </c>
      <c r="I345" s="4"/>
      <c r="J345" s="4"/>
      <c r="K345" s="4">
        <v>212</v>
      </c>
      <c r="L345" s="4">
        <v>144</v>
      </c>
      <c r="M345" s="4">
        <v>1</v>
      </c>
      <c r="N345" s="4" t="s">
        <v>2</v>
      </c>
      <c r="O345" s="4">
        <v>0</v>
      </c>
      <c r="P345" s="4"/>
      <c r="Q345" s="4"/>
      <c r="R345" s="4"/>
      <c r="S345" s="4"/>
      <c r="T345" s="4"/>
      <c r="U345" s="4"/>
      <c r="V345" s="4"/>
      <c r="W345" s="4"/>
    </row>
    <row r="346" spans="1:23" x14ac:dyDescent="0.2">
      <c r="A346" s="4">
        <v>50</v>
      </c>
      <c r="B346" s="4">
        <v>0</v>
      </c>
      <c r="C346" s="4">
        <v>0</v>
      </c>
      <c r="D346" s="4">
        <v>2</v>
      </c>
      <c r="E346" s="4">
        <v>0</v>
      </c>
      <c r="F346" s="4">
        <v>0</v>
      </c>
      <c r="G346" s="4" t="s">
        <v>435</v>
      </c>
      <c r="H346" s="4" t="s">
        <v>293</v>
      </c>
      <c r="I346" s="4"/>
      <c r="J346" s="4"/>
      <c r="K346" s="4">
        <v>212</v>
      </c>
      <c r="L346" s="4">
        <v>145</v>
      </c>
      <c r="M346" s="4">
        <v>3</v>
      </c>
      <c r="N346" s="4" t="s">
        <v>2</v>
      </c>
      <c r="O346" s="4">
        <v>0</v>
      </c>
      <c r="P346" s="4"/>
      <c r="Q346" s="4"/>
      <c r="R346" s="4"/>
      <c r="S346" s="4"/>
      <c r="T346" s="4"/>
      <c r="U346" s="4"/>
      <c r="V346" s="4"/>
      <c r="W346" s="4"/>
    </row>
    <row r="347" spans="1:23" x14ac:dyDescent="0.2">
      <c r="A347" s="4">
        <v>50</v>
      </c>
      <c r="B347" s="4">
        <v>0</v>
      </c>
      <c r="C347" s="4">
        <v>0</v>
      </c>
      <c r="D347" s="4">
        <v>2</v>
      </c>
      <c r="E347" s="4">
        <v>0</v>
      </c>
      <c r="F347" s="4">
        <f>0</f>
        <v>0</v>
      </c>
      <c r="G347" s="4" t="s">
        <v>436</v>
      </c>
      <c r="H347" s="4" t="s">
        <v>295</v>
      </c>
      <c r="I347" s="4"/>
      <c r="J347" s="4"/>
      <c r="K347" s="4">
        <v>212</v>
      </c>
      <c r="L347" s="4">
        <v>146</v>
      </c>
      <c r="M347" s="4">
        <v>1</v>
      </c>
      <c r="N347" s="4" t="s">
        <v>2</v>
      </c>
      <c r="O347" s="4">
        <v>-1</v>
      </c>
      <c r="P347" s="4"/>
      <c r="Q347" s="4"/>
      <c r="R347" s="4"/>
      <c r="S347" s="4"/>
      <c r="T347" s="4"/>
      <c r="U347" s="4"/>
      <c r="V347" s="4"/>
      <c r="W347" s="4"/>
    </row>
    <row r="348" spans="1:23" x14ac:dyDescent="0.2">
      <c r="A348" s="4">
        <v>50</v>
      </c>
      <c r="B348" s="4">
        <v>0</v>
      </c>
      <c r="C348" s="4">
        <v>0</v>
      </c>
      <c r="D348" s="4">
        <v>2</v>
      </c>
      <c r="E348" s="4">
        <v>0</v>
      </c>
      <c r="F348" s="4">
        <v>0</v>
      </c>
      <c r="G348" s="4" t="s">
        <v>437</v>
      </c>
      <c r="H348" s="4" t="s">
        <v>159</v>
      </c>
      <c r="I348" s="4"/>
      <c r="J348" s="4"/>
      <c r="K348" s="4">
        <v>212</v>
      </c>
      <c r="L348" s="4">
        <v>147</v>
      </c>
      <c r="M348" s="4">
        <v>1</v>
      </c>
      <c r="N348" s="4" t="s">
        <v>2</v>
      </c>
      <c r="O348" s="4">
        <v>0</v>
      </c>
      <c r="P348" s="4"/>
      <c r="Q348" s="4"/>
      <c r="R348" s="4"/>
      <c r="S348" s="4"/>
      <c r="T348" s="4"/>
      <c r="U348" s="4"/>
      <c r="V348" s="4"/>
      <c r="W348" s="4"/>
    </row>
    <row r="349" spans="1:23" x14ac:dyDescent="0.2">
      <c r="A349" s="4">
        <v>50</v>
      </c>
      <c r="B349" s="4">
        <v>0</v>
      </c>
      <c r="C349" s="4">
        <v>0</v>
      </c>
      <c r="D349" s="4">
        <v>2</v>
      </c>
      <c r="E349" s="4">
        <v>0</v>
      </c>
      <c r="F349" s="4">
        <v>0</v>
      </c>
      <c r="G349" s="4" t="s">
        <v>438</v>
      </c>
      <c r="H349" s="4" t="s">
        <v>298</v>
      </c>
      <c r="I349" s="4"/>
      <c r="J349" s="4"/>
      <c r="K349" s="4">
        <v>212</v>
      </c>
      <c r="L349" s="4">
        <v>148</v>
      </c>
      <c r="M349" s="4">
        <v>3</v>
      </c>
      <c r="N349" s="4" t="s">
        <v>2</v>
      </c>
      <c r="O349" s="4">
        <v>0</v>
      </c>
      <c r="P349" s="4"/>
      <c r="Q349" s="4"/>
      <c r="R349" s="4"/>
      <c r="S349" s="4"/>
      <c r="T349" s="4"/>
      <c r="U349" s="4"/>
      <c r="V349" s="4"/>
      <c r="W349" s="4"/>
    </row>
    <row r="350" spans="1:23" x14ac:dyDescent="0.2">
      <c r="A350" s="4">
        <v>50</v>
      </c>
      <c r="B350" s="4">
        <v>0</v>
      </c>
      <c r="C350" s="4">
        <v>0</v>
      </c>
      <c r="D350" s="4">
        <v>2</v>
      </c>
      <c r="E350" s="4">
        <v>0</v>
      </c>
      <c r="F350" s="4">
        <v>0</v>
      </c>
      <c r="G350" s="4" t="s">
        <v>439</v>
      </c>
      <c r="H350" s="4" t="s">
        <v>300</v>
      </c>
      <c r="I350" s="4"/>
      <c r="J350" s="4"/>
      <c r="K350" s="4">
        <v>212</v>
      </c>
      <c r="L350" s="4">
        <v>149</v>
      </c>
      <c r="M350" s="4">
        <v>3</v>
      </c>
      <c r="N350" s="4" t="s">
        <v>2</v>
      </c>
      <c r="O350" s="4">
        <v>0</v>
      </c>
      <c r="P350" s="4"/>
      <c r="Q350" s="4"/>
      <c r="R350" s="4"/>
      <c r="S350" s="4"/>
      <c r="T350" s="4"/>
      <c r="U350" s="4"/>
      <c r="V350" s="4"/>
      <c r="W350" s="4"/>
    </row>
    <row r="351" spans="1:23" x14ac:dyDescent="0.2">
      <c r="A351" s="4">
        <v>50</v>
      </c>
      <c r="B351" s="4">
        <v>0</v>
      </c>
      <c r="C351" s="4">
        <v>0</v>
      </c>
      <c r="D351" s="4">
        <v>2</v>
      </c>
      <c r="E351" s="4">
        <v>0</v>
      </c>
      <c r="F351" s="4">
        <v>0</v>
      </c>
      <c r="G351" s="4" t="s">
        <v>440</v>
      </c>
      <c r="H351" s="4" t="s">
        <v>302</v>
      </c>
      <c r="I351" s="4"/>
      <c r="J351" s="4"/>
      <c r="K351" s="4">
        <v>212</v>
      </c>
      <c r="L351" s="4">
        <v>150</v>
      </c>
      <c r="M351" s="4">
        <v>3</v>
      </c>
      <c r="N351" s="4" t="s">
        <v>2</v>
      </c>
      <c r="O351" s="4">
        <v>0</v>
      </c>
      <c r="P351" s="4"/>
      <c r="Q351" s="4"/>
      <c r="R351" s="4"/>
      <c r="S351" s="4"/>
      <c r="T351" s="4"/>
      <c r="U351" s="4"/>
      <c r="V351" s="4"/>
      <c r="W351" s="4"/>
    </row>
    <row r="352" spans="1:23" x14ac:dyDescent="0.2">
      <c r="A352" s="4">
        <v>50</v>
      </c>
      <c r="B352" s="4">
        <v>0</v>
      </c>
      <c r="C352" s="4">
        <v>0</v>
      </c>
      <c r="D352" s="4">
        <v>2</v>
      </c>
      <c r="E352" s="4">
        <v>0</v>
      </c>
      <c r="F352" s="4">
        <v>0</v>
      </c>
      <c r="G352" s="4" t="s">
        <v>441</v>
      </c>
      <c r="H352" s="4" t="s">
        <v>161</v>
      </c>
      <c r="I352" s="4"/>
      <c r="J352" s="4"/>
      <c r="K352" s="4">
        <v>212</v>
      </c>
      <c r="L352" s="4">
        <v>151</v>
      </c>
      <c r="M352" s="4">
        <v>3</v>
      </c>
      <c r="N352" s="4" t="s">
        <v>2</v>
      </c>
      <c r="O352" s="4">
        <v>0</v>
      </c>
      <c r="P352" s="4"/>
      <c r="Q352" s="4"/>
      <c r="R352" s="4"/>
      <c r="S352" s="4"/>
      <c r="T352" s="4"/>
      <c r="U352" s="4"/>
      <c r="V352" s="4"/>
      <c r="W352" s="4"/>
    </row>
    <row r="353" spans="1:23" x14ac:dyDescent="0.2">
      <c r="A353" s="4">
        <v>50</v>
      </c>
      <c r="B353" s="4">
        <v>0</v>
      </c>
      <c r="C353" s="4">
        <v>0</v>
      </c>
      <c r="D353" s="4">
        <v>2</v>
      </c>
      <c r="E353" s="4">
        <v>0</v>
      </c>
      <c r="F353" s="4">
        <v>0</v>
      </c>
      <c r="G353" s="4" t="s">
        <v>442</v>
      </c>
      <c r="H353" s="4" t="s">
        <v>163</v>
      </c>
      <c r="I353" s="4"/>
      <c r="J353" s="4"/>
      <c r="K353" s="4">
        <v>212</v>
      </c>
      <c r="L353" s="4">
        <v>152</v>
      </c>
      <c r="M353" s="4">
        <v>3</v>
      </c>
      <c r="N353" s="4" t="s">
        <v>2</v>
      </c>
      <c r="O353" s="4">
        <v>0</v>
      </c>
      <c r="P353" s="4"/>
      <c r="Q353" s="4"/>
      <c r="R353" s="4"/>
      <c r="S353" s="4"/>
      <c r="T353" s="4"/>
      <c r="U353" s="4"/>
      <c r="V353" s="4"/>
      <c r="W353" s="4"/>
    </row>
    <row r="354" spans="1:23" x14ac:dyDescent="0.2">
      <c r="A354" s="4">
        <v>50</v>
      </c>
      <c r="B354" s="4">
        <v>0</v>
      </c>
      <c r="C354" s="4">
        <v>0</v>
      </c>
      <c r="D354" s="4">
        <v>2</v>
      </c>
      <c r="E354" s="4">
        <v>0</v>
      </c>
      <c r="F354" s="4">
        <v>0</v>
      </c>
      <c r="G354" s="4" t="s">
        <v>443</v>
      </c>
      <c r="H354" s="4" t="s">
        <v>306</v>
      </c>
      <c r="I354" s="4"/>
      <c r="J354" s="4"/>
      <c r="K354" s="4">
        <v>212</v>
      </c>
      <c r="L354" s="4">
        <v>153</v>
      </c>
      <c r="M354" s="4">
        <v>1</v>
      </c>
      <c r="N354" s="4" t="s">
        <v>2</v>
      </c>
      <c r="O354" s="4">
        <v>0</v>
      </c>
      <c r="P354" s="4"/>
      <c r="Q354" s="4"/>
      <c r="R354" s="4"/>
      <c r="S354" s="4"/>
      <c r="T354" s="4"/>
      <c r="U354" s="4"/>
      <c r="V354" s="4"/>
      <c r="W354" s="4"/>
    </row>
    <row r="355" spans="1:23" x14ac:dyDescent="0.2">
      <c r="A355" s="4">
        <v>50</v>
      </c>
      <c r="B355" s="4">
        <v>0</v>
      </c>
      <c r="C355" s="4">
        <v>0</v>
      </c>
      <c r="D355" s="4">
        <v>2</v>
      </c>
      <c r="E355" s="4">
        <v>0</v>
      </c>
      <c r="F355" s="4">
        <v>0</v>
      </c>
      <c r="G355" s="4" t="s">
        <v>444</v>
      </c>
      <c r="H355" s="4" t="s">
        <v>308</v>
      </c>
      <c r="I355" s="4"/>
      <c r="J355" s="4"/>
      <c r="K355" s="4">
        <v>212</v>
      </c>
      <c r="L355" s="4">
        <v>154</v>
      </c>
      <c r="M355" s="4">
        <v>1</v>
      </c>
      <c r="N355" s="4" t="s">
        <v>2</v>
      </c>
      <c r="O355" s="4">
        <v>0</v>
      </c>
      <c r="P355" s="4"/>
      <c r="Q355" s="4"/>
      <c r="R355" s="4"/>
      <c r="S355" s="4"/>
      <c r="T355" s="4"/>
      <c r="U355" s="4"/>
      <c r="V355" s="4"/>
      <c r="W355" s="4"/>
    </row>
    <row r="356" spans="1:23" x14ac:dyDescent="0.2">
      <c r="A356" s="4">
        <v>50</v>
      </c>
      <c r="B356" s="4">
        <v>0</v>
      </c>
      <c r="C356" s="4">
        <v>0</v>
      </c>
      <c r="D356" s="4">
        <v>2</v>
      </c>
      <c r="E356" s="4">
        <v>0</v>
      </c>
      <c r="F356" s="4">
        <f>ROUND(F345+F354+F355,O356)</f>
        <v>0</v>
      </c>
      <c r="G356" s="4" t="s">
        <v>445</v>
      </c>
      <c r="H356" s="4" t="s">
        <v>446</v>
      </c>
      <c r="I356" s="4"/>
      <c r="J356" s="4"/>
      <c r="K356" s="4">
        <v>212</v>
      </c>
      <c r="L356" s="4">
        <v>155</v>
      </c>
      <c r="M356" s="4">
        <v>1</v>
      </c>
      <c r="N356" s="4" t="s">
        <v>447</v>
      </c>
      <c r="O356" s="4">
        <v>0</v>
      </c>
      <c r="P356" s="4"/>
      <c r="Q356" s="4"/>
      <c r="R356" s="4"/>
      <c r="S356" s="4"/>
      <c r="T356" s="4"/>
      <c r="U356" s="4"/>
      <c r="V356" s="4"/>
      <c r="W356" s="4"/>
    </row>
    <row r="357" spans="1:23" x14ac:dyDescent="0.2">
      <c r="A357" s="4">
        <v>50</v>
      </c>
      <c r="B357" s="4">
        <v>0</v>
      </c>
      <c r="C357" s="4">
        <v>0</v>
      </c>
      <c r="D357" s="4">
        <v>2</v>
      </c>
      <c r="E357" s="4">
        <v>0</v>
      </c>
      <c r="F357" s="4">
        <v>0</v>
      </c>
      <c r="G357" s="4" t="s">
        <v>448</v>
      </c>
      <c r="H357" s="4" t="s">
        <v>449</v>
      </c>
      <c r="I357" s="4"/>
      <c r="J357" s="4"/>
      <c r="K357" s="4">
        <v>212</v>
      </c>
      <c r="L357" s="4">
        <v>156</v>
      </c>
      <c r="M357" s="4">
        <v>1</v>
      </c>
      <c r="N357" s="4" t="s">
        <v>2</v>
      </c>
      <c r="O357" s="4">
        <v>0</v>
      </c>
      <c r="P357" s="4"/>
      <c r="Q357" s="4"/>
      <c r="R357" s="4"/>
      <c r="S357" s="4"/>
      <c r="T357" s="4"/>
      <c r="U357" s="4"/>
      <c r="V357" s="4"/>
      <c r="W357" s="4"/>
    </row>
    <row r="358" spans="1:23" x14ac:dyDescent="0.2">
      <c r="A358" s="4">
        <v>50</v>
      </c>
      <c r="B358" s="4">
        <v>1</v>
      </c>
      <c r="C358" s="4">
        <v>0</v>
      </c>
      <c r="D358" s="4">
        <v>2</v>
      </c>
      <c r="E358" s="4">
        <v>0</v>
      </c>
      <c r="F358" s="4">
        <v>13613</v>
      </c>
      <c r="G358" s="4" t="s">
        <v>450</v>
      </c>
      <c r="H358" s="4" t="s">
        <v>450</v>
      </c>
      <c r="I358" s="4"/>
      <c r="J358" s="4"/>
      <c r="K358" s="4">
        <v>212</v>
      </c>
      <c r="L358" s="4">
        <v>157</v>
      </c>
      <c r="M358" s="4">
        <v>1</v>
      </c>
      <c r="N358" s="4" t="s">
        <v>2</v>
      </c>
      <c r="O358" s="4">
        <v>0</v>
      </c>
      <c r="P358" s="4"/>
      <c r="Q358" s="4"/>
      <c r="R358" s="4"/>
      <c r="S358" s="4"/>
      <c r="T358" s="4"/>
      <c r="U358" s="4"/>
      <c r="V358" s="4"/>
      <c r="W358" s="4"/>
    </row>
    <row r="359" spans="1:23" x14ac:dyDescent="0.2">
      <c r="A359" s="4">
        <v>50</v>
      </c>
      <c r="B359" s="4">
        <v>0</v>
      </c>
      <c r="C359" s="4">
        <v>0</v>
      </c>
      <c r="D359" s="4">
        <v>2</v>
      </c>
      <c r="E359" s="4">
        <v>0</v>
      </c>
      <c r="F359" s="4">
        <v>0</v>
      </c>
      <c r="G359" s="4" t="s">
        <v>451</v>
      </c>
      <c r="H359" s="4" t="s">
        <v>452</v>
      </c>
      <c r="I359" s="4"/>
      <c r="J359" s="4"/>
      <c r="K359" s="4">
        <v>212</v>
      </c>
      <c r="L359" s="4">
        <v>158</v>
      </c>
      <c r="M359" s="4">
        <v>1</v>
      </c>
      <c r="N359" s="4" t="s">
        <v>2</v>
      </c>
      <c r="O359" s="4">
        <v>0</v>
      </c>
      <c r="P359" s="4"/>
      <c r="Q359" s="4"/>
      <c r="R359" s="4"/>
      <c r="S359" s="4"/>
      <c r="T359" s="4"/>
      <c r="U359" s="4"/>
      <c r="V359" s="4"/>
      <c r="W359" s="4"/>
    </row>
    <row r="360" spans="1:23" x14ac:dyDescent="0.2">
      <c r="A360" s="4">
        <v>50</v>
      </c>
      <c r="B360" s="4">
        <v>0</v>
      </c>
      <c r="C360" s="4">
        <v>0</v>
      </c>
      <c r="D360" s="4">
        <v>2</v>
      </c>
      <c r="E360" s="4">
        <v>0</v>
      </c>
      <c r="F360" s="4">
        <v>0</v>
      </c>
      <c r="G360" s="4" t="s">
        <v>453</v>
      </c>
      <c r="H360" s="4" t="s">
        <v>454</v>
      </c>
      <c r="I360" s="4"/>
      <c r="J360" s="4"/>
      <c r="K360" s="4">
        <v>212</v>
      </c>
      <c r="L360" s="4">
        <v>159</v>
      </c>
      <c r="M360" s="4">
        <v>1</v>
      </c>
      <c r="N360" s="4" t="s">
        <v>2</v>
      </c>
      <c r="O360" s="4">
        <v>2</v>
      </c>
      <c r="P360" s="4"/>
      <c r="Q360" s="4"/>
      <c r="R360" s="4"/>
      <c r="S360" s="4"/>
      <c r="T360" s="4"/>
      <c r="U360" s="4"/>
      <c r="V360" s="4"/>
      <c r="W360" s="4"/>
    </row>
    <row r="361" spans="1:23" x14ac:dyDescent="0.2">
      <c r="A361" s="4">
        <v>50</v>
      </c>
      <c r="B361" s="4">
        <v>0</v>
      </c>
      <c r="C361" s="4">
        <v>0</v>
      </c>
      <c r="D361" s="4">
        <v>2</v>
      </c>
      <c r="E361" s="4">
        <v>0</v>
      </c>
      <c r="F361" s="4">
        <v>0</v>
      </c>
      <c r="G361" s="4" t="s">
        <v>455</v>
      </c>
      <c r="H361" s="4" t="s">
        <v>456</v>
      </c>
      <c r="I361" s="4"/>
      <c r="J361" s="4"/>
      <c r="K361" s="4">
        <v>212</v>
      </c>
      <c r="L361" s="4">
        <v>160</v>
      </c>
      <c r="M361" s="4">
        <v>1</v>
      </c>
      <c r="N361" s="4" t="s">
        <v>2</v>
      </c>
      <c r="O361" s="4">
        <v>2</v>
      </c>
      <c r="P361" s="4"/>
      <c r="Q361" s="4"/>
      <c r="R361" s="4"/>
      <c r="S361" s="4"/>
      <c r="T361" s="4"/>
      <c r="U361" s="4"/>
      <c r="V361" s="4"/>
      <c r="W361" s="4"/>
    </row>
    <row r="362" spans="1:23" x14ac:dyDescent="0.2">
      <c r="A362" s="4">
        <v>50</v>
      </c>
      <c r="B362" s="4">
        <v>1</v>
      </c>
      <c r="C362" s="4">
        <v>0</v>
      </c>
      <c r="D362" s="4">
        <v>2</v>
      </c>
      <c r="E362" s="4">
        <v>0</v>
      </c>
      <c r="F362" s="4">
        <v>19174</v>
      </c>
      <c r="G362" s="4" t="s">
        <v>457</v>
      </c>
      <c r="H362" s="4" t="s">
        <v>458</v>
      </c>
      <c r="I362" s="4"/>
      <c r="J362" s="4"/>
      <c r="K362" s="4">
        <v>212</v>
      </c>
      <c r="L362" s="4">
        <v>161</v>
      </c>
      <c r="M362" s="4">
        <v>1</v>
      </c>
      <c r="N362" s="4" t="s">
        <v>459</v>
      </c>
      <c r="O362" s="4">
        <v>0</v>
      </c>
      <c r="P362" s="4"/>
      <c r="Q362" s="4"/>
      <c r="R362" s="4"/>
      <c r="S362" s="4"/>
      <c r="T362" s="4"/>
      <c r="U362" s="4"/>
      <c r="V362" s="4"/>
      <c r="W362" s="4"/>
    </row>
    <row r="363" spans="1:23" x14ac:dyDescent="0.2">
      <c r="A363" s="4">
        <v>50</v>
      </c>
      <c r="B363" s="4">
        <v>0</v>
      </c>
      <c r="C363" s="4">
        <v>0</v>
      </c>
      <c r="D363" s="4">
        <v>2</v>
      </c>
      <c r="E363" s="4">
        <v>0</v>
      </c>
      <c r="F363" s="4">
        <f>ROUND(F240+F252+F264+F276+F288+F300+F312+F324+F336+F348,O363)</f>
        <v>0</v>
      </c>
      <c r="G363" s="4" t="s">
        <v>460</v>
      </c>
      <c r="H363" s="4" t="s">
        <v>461</v>
      </c>
      <c r="I363" s="4"/>
      <c r="J363" s="4"/>
      <c r="K363" s="4">
        <v>212</v>
      </c>
      <c r="L363" s="4">
        <v>162</v>
      </c>
      <c r="M363" s="4">
        <v>1</v>
      </c>
      <c r="N363" s="4" t="s">
        <v>2</v>
      </c>
      <c r="O363" s="4">
        <v>0</v>
      </c>
      <c r="P363" s="4"/>
      <c r="Q363" s="4"/>
      <c r="R363" s="4"/>
      <c r="S363" s="4"/>
      <c r="T363" s="4"/>
      <c r="U363" s="4"/>
      <c r="V363" s="4"/>
      <c r="W363" s="4"/>
    </row>
    <row r="364" spans="1:23" x14ac:dyDescent="0.2">
      <c r="A364" s="4">
        <v>50</v>
      </c>
      <c r="B364" s="4">
        <v>1</v>
      </c>
      <c r="C364" s="4">
        <v>0</v>
      </c>
      <c r="D364" s="4">
        <v>2</v>
      </c>
      <c r="E364" s="4">
        <v>0</v>
      </c>
      <c r="F364" s="4">
        <f>ROUND(F246+F258+F270+F282+F294+F306+F318+F330+F342+F354,O364)</f>
        <v>1904</v>
      </c>
      <c r="G364" s="4" t="s">
        <v>462</v>
      </c>
      <c r="H364" s="4" t="s">
        <v>463</v>
      </c>
      <c r="I364" s="4"/>
      <c r="J364" s="4"/>
      <c r="K364" s="4">
        <v>212</v>
      </c>
      <c r="L364" s="4">
        <v>163</v>
      </c>
      <c r="M364" s="4">
        <v>0</v>
      </c>
      <c r="N364" s="4" t="s">
        <v>2</v>
      </c>
      <c r="O364" s="4">
        <v>0</v>
      </c>
      <c r="P364" s="4"/>
      <c r="Q364" s="4"/>
      <c r="R364" s="4"/>
      <c r="S364" s="4"/>
      <c r="T364" s="4"/>
      <c r="U364" s="4"/>
      <c r="V364" s="4"/>
      <c r="W364" s="4"/>
    </row>
    <row r="365" spans="1:23" x14ac:dyDescent="0.2">
      <c r="A365" s="4">
        <v>50</v>
      </c>
      <c r="B365" s="4">
        <v>1</v>
      </c>
      <c r="C365" s="4">
        <v>0</v>
      </c>
      <c r="D365" s="4">
        <v>2</v>
      </c>
      <c r="E365" s="4">
        <v>0</v>
      </c>
      <c r="F365" s="4">
        <f>ROUND(F247+F259+F271+F283+F295+F307+F319+F331+F343+F355,O365)</f>
        <v>945</v>
      </c>
      <c r="G365" s="4" t="s">
        <v>464</v>
      </c>
      <c r="H365" s="4" t="s">
        <v>465</v>
      </c>
      <c r="I365" s="4"/>
      <c r="J365" s="4"/>
      <c r="K365" s="4">
        <v>212</v>
      </c>
      <c r="L365" s="4">
        <v>164</v>
      </c>
      <c r="M365" s="4">
        <v>0</v>
      </c>
      <c r="N365" s="4" t="s">
        <v>2</v>
      </c>
      <c r="O365" s="4">
        <v>0</v>
      </c>
      <c r="P365" s="4"/>
      <c r="Q365" s="4"/>
      <c r="R365" s="4"/>
      <c r="S365" s="4"/>
      <c r="T365" s="4"/>
      <c r="U365" s="4"/>
      <c r="V365" s="4"/>
      <c r="W365" s="4"/>
    </row>
    <row r="366" spans="1:23" x14ac:dyDescent="0.2">
      <c r="A366" s="4">
        <v>50</v>
      </c>
      <c r="B366" s="4">
        <v>0</v>
      </c>
      <c r="C366" s="4">
        <v>0</v>
      </c>
      <c r="D366" s="4">
        <v>2</v>
      </c>
      <c r="E366" s="4">
        <v>0</v>
      </c>
      <c r="F366" s="4">
        <f>ROUND(F238+F250+F262+F274+F286+F298+F310+F322+F334+F346+F358+F239+F251+F263+F275+F287+F299+F311+F323+F335+F347,O366)</f>
        <v>27717</v>
      </c>
      <c r="G366" s="4" t="s">
        <v>466</v>
      </c>
      <c r="H366" s="4" t="s">
        <v>467</v>
      </c>
      <c r="I366" s="4"/>
      <c r="J366" s="4"/>
      <c r="K366" s="4">
        <v>212</v>
      </c>
      <c r="L366" s="4">
        <v>165</v>
      </c>
      <c r="M366" s="4">
        <v>3</v>
      </c>
      <c r="N366" s="4" t="s">
        <v>2</v>
      </c>
      <c r="O366" s="4">
        <v>0</v>
      </c>
      <c r="P366" s="4"/>
      <c r="Q366" s="4"/>
      <c r="R366" s="4"/>
      <c r="S366" s="4"/>
      <c r="T366" s="4"/>
      <c r="U366" s="4"/>
      <c r="V366" s="4"/>
      <c r="W366" s="4"/>
    </row>
    <row r="367" spans="1:23" x14ac:dyDescent="0.2">
      <c r="A367" s="4">
        <v>50</v>
      </c>
      <c r="B367" s="4">
        <v>1</v>
      </c>
      <c r="C367" s="4">
        <v>0</v>
      </c>
      <c r="D367" s="4">
        <v>2</v>
      </c>
      <c r="E367" s="4">
        <v>205</v>
      </c>
      <c r="F367" s="4">
        <f>ROUND(F241+F253+F265+F277+F289+F301+F313+F325+F337+F349,O367)</f>
        <v>1846</v>
      </c>
      <c r="G367" s="4" t="s">
        <v>468</v>
      </c>
      <c r="H367" s="4" t="s">
        <v>469</v>
      </c>
      <c r="I367" s="4"/>
      <c r="J367" s="4"/>
      <c r="K367" s="4">
        <v>212</v>
      </c>
      <c r="L367" s="4">
        <v>166</v>
      </c>
      <c r="M367" s="4">
        <v>0</v>
      </c>
      <c r="N367" s="4" t="s">
        <v>2</v>
      </c>
      <c r="O367" s="4">
        <v>0</v>
      </c>
      <c r="P367" s="4"/>
      <c r="Q367" s="4"/>
      <c r="R367" s="4"/>
      <c r="S367" s="4"/>
      <c r="T367" s="4"/>
      <c r="U367" s="4"/>
      <c r="V367" s="4"/>
      <c r="W367" s="4"/>
    </row>
    <row r="368" spans="1:23" x14ac:dyDescent="0.2">
      <c r="A368" s="4">
        <v>50</v>
      </c>
      <c r="B368" s="4">
        <v>0</v>
      </c>
      <c r="C368" s="4">
        <v>0</v>
      </c>
      <c r="D368" s="4">
        <v>2</v>
      </c>
      <c r="E368" s="4">
        <v>0</v>
      </c>
      <c r="F368" s="4">
        <f>ROUND(F242+F254+F266+F278+F290+F302+F314+F326+F338+F350+F357,O368)</f>
        <v>375</v>
      </c>
      <c r="G368" s="4" t="s">
        <v>470</v>
      </c>
      <c r="H368" s="4" t="s">
        <v>471</v>
      </c>
      <c r="I368" s="4"/>
      <c r="J368" s="4"/>
      <c r="K368" s="4">
        <v>212</v>
      </c>
      <c r="L368" s="4">
        <v>167</v>
      </c>
      <c r="M368" s="4">
        <v>3</v>
      </c>
      <c r="N368" s="4" t="s">
        <v>2</v>
      </c>
      <c r="O368" s="4">
        <v>0</v>
      </c>
      <c r="P368" s="4"/>
      <c r="Q368" s="4"/>
      <c r="R368" s="4"/>
      <c r="S368" s="4"/>
      <c r="T368" s="4"/>
      <c r="U368" s="4"/>
      <c r="V368" s="4"/>
      <c r="W368" s="4"/>
    </row>
    <row r="369" spans="1:206" x14ac:dyDescent="0.2">
      <c r="A369" s="4">
        <v>50</v>
      </c>
      <c r="B369" s="4">
        <v>1</v>
      </c>
      <c r="C369" s="4">
        <v>0</v>
      </c>
      <c r="D369" s="4">
        <v>2</v>
      </c>
      <c r="E369" s="4">
        <v>0</v>
      </c>
      <c r="F369" s="4">
        <f>ROUND(F243+F255+F267+F279+F291+F303+F315+F327+F339+F351,O369)</f>
        <v>35</v>
      </c>
      <c r="G369" s="4" t="s">
        <v>472</v>
      </c>
      <c r="H369" s="4" t="s">
        <v>473</v>
      </c>
      <c r="I369" s="4"/>
      <c r="J369" s="4"/>
      <c r="K369" s="4">
        <v>212</v>
      </c>
      <c r="L369" s="4">
        <v>168</v>
      </c>
      <c r="M369" s="4">
        <v>0</v>
      </c>
      <c r="N369" s="4" t="s">
        <v>2</v>
      </c>
      <c r="O369" s="4">
        <v>0</v>
      </c>
      <c r="P369" s="4"/>
      <c r="Q369" s="4"/>
      <c r="R369" s="4"/>
      <c r="S369" s="4"/>
      <c r="T369" s="4"/>
      <c r="U369" s="4"/>
      <c r="V369" s="4"/>
      <c r="W369" s="4"/>
    </row>
    <row r="370" spans="1:206" x14ac:dyDescent="0.2">
      <c r="A370" s="4">
        <v>50</v>
      </c>
      <c r="B370" s="4">
        <v>0</v>
      </c>
      <c r="C370" s="4">
        <v>0</v>
      </c>
      <c r="D370" s="4">
        <v>2</v>
      </c>
      <c r="E370" s="4">
        <v>0</v>
      </c>
      <c r="F370" s="4">
        <f>ROUND(F367+F369,O370)</f>
        <v>1881</v>
      </c>
      <c r="G370" s="4" t="s">
        <v>474</v>
      </c>
      <c r="H370" s="4" t="s">
        <v>475</v>
      </c>
      <c r="I370" s="4"/>
      <c r="J370" s="4"/>
      <c r="K370" s="4">
        <v>212</v>
      </c>
      <c r="L370" s="4">
        <v>169</v>
      </c>
      <c r="M370" s="4">
        <v>3</v>
      </c>
      <c r="N370" s="4" t="s">
        <v>476</v>
      </c>
      <c r="O370" s="4">
        <v>0</v>
      </c>
      <c r="P370" s="4"/>
      <c r="Q370" s="4"/>
      <c r="R370" s="4"/>
      <c r="S370" s="4"/>
      <c r="T370" s="4"/>
      <c r="U370" s="4"/>
      <c r="V370" s="4"/>
      <c r="W370" s="4"/>
    </row>
    <row r="371" spans="1:206" x14ac:dyDescent="0.2">
      <c r="A371" s="4">
        <v>50</v>
      </c>
      <c r="B371" s="4">
        <v>1</v>
      </c>
      <c r="C371" s="4">
        <v>0</v>
      </c>
      <c r="D371" s="4">
        <v>2</v>
      </c>
      <c r="E371" s="4">
        <v>0</v>
      </c>
      <c r="F371" s="4">
        <f>ROUND(F244+F256+F268+F280+F292+F304+F316+F328+F340+F352,O371)</f>
        <v>213</v>
      </c>
      <c r="G371" s="4" t="s">
        <v>477</v>
      </c>
      <c r="H371" s="4" t="s">
        <v>478</v>
      </c>
      <c r="I371" s="4"/>
      <c r="J371" s="4"/>
      <c r="K371" s="4">
        <v>212</v>
      </c>
      <c r="L371" s="4">
        <v>170</v>
      </c>
      <c r="M371" s="4">
        <v>0</v>
      </c>
      <c r="N371" s="4" t="s">
        <v>2</v>
      </c>
      <c r="O371" s="4">
        <v>0</v>
      </c>
      <c r="P371" s="4"/>
      <c r="Q371" s="4"/>
      <c r="R371" s="4"/>
      <c r="S371" s="4"/>
      <c r="T371" s="4"/>
      <c r="U371" s="4"/>
      <c r="V371" s="4"/>
      <c r="W371" s="4"/>
    </row>
    <row r="372" spans="1:206" x14ac:dyDescent="0.2">
      <c r="A372" s="4">
        <v>50</v>
      </c>
      <c r="B372" s="4">
        <v>1</v>
      </c>
      <c r="C372" s="4">
        <v>0</v>
      </c>
      <c r="D372" s="4">
        <v>2</v>
      </c>
      <c r="E372" s="4">
        <v>0</v>
      </c>
      <c r="F372" s="4">
        <f>ROUND(F245+F257+F269+F281+F293+F305+F317+F329+F341+F353,O372)</f>
        <v>3</v>
      </c>
      <c r="G372" s="4" t="s">
        <v>479</v>
      </c>
      <c r="H372" s="4" t="s">
        <v>480</v>
      </c>
      <c r="I372" s="4"/>
      <c r="J372" s="4"/>
      <c r="K372" s="4">
        <v>212</v>
      </c>
      <c r="L372" s="4">
        <v>171</v>
      </c>
      <c r="M372" s="4">
        <v>0</v>
      </c>
      <c r="N372" s="4" t="s">
        <v>2</v>
      </c>
      <c r="O372" s="4">
        <v>0</v>
      </c>
      <c r="P372" s="4"/>
      <c r="Q372" s="4"/>
      <c r="R372" s="4"/>
      <c r="S372" s="4"/>
      <c r="T372" s="4"/>
      <c r="U372" s="4"/>
      <c r="V372" s="4"/>
      <c r="W372" s="4"/>
    </row>
    <row r="373" spans="1:206" x14ac:dyDescent="0.2">
      <c r="A373" s="4">
        <v>50</v>
      </c>
      <c r="B373" s="4">
        <v>1</v>
      </c>
      <c r="C373" s="4">
        <v>0</v>
      </c>
      <c r="D373" s="4">
        <v>2</v>
      </c>
      <c r="E373" s="4">
        <v>207</v>
      </c>
      <c r="F373" s="4">
        <f>ROUND(F371+F372,O373)</f>
        <v>216</v>
      </c>
      <c r="G373" s="4" t="s">
        <v>481</v>
      </c>
      <c r="H373" s="4" t="s">
        <v>482</v>
      </c>
      <c r="I373" s="4"/>
      <c r="J373" s="4"/>
      <c r="K373" s="4">
        <v>212</v>
      </c>
      <c r="L373" s="4">
        <v>172</v>
      </c>
      <c r="M373" s="4">
        <v>0</v>
      </c>
      <c r="N373" s="4" t="s">
        <v>483</v>
      </c>
      <c r="O373" s="4">
        <v>0</v>
      </c>
      <c r="P373" s="4"/>
      <c r="Q373" s="4"/>
      <c r="R373" s="4"/>
      <c r="S373" s="4"/>
      <c r="T373" s="4"/>
      <c r="U373" s="4"/>
      <c r="V373" s="4"/>
      <c r="W373" s="4"/>
    </row>
    <row r="374" spans="1:206" x14ac:dyDescent="0.2">
      <c r="A374" s="4">
        <v>50</v>
      </c>
      <c r="B374" s="4">
        <v>0</v>
      </c>
      <c r="C374" s="4">
        <v>0</v>
      </c>
      <c r="D374" s="4">
        <v>2</v>
      </c>
      <c r="E374" s="4">
        <v>214</v>
      </c>
      <c r="F374" s="4">
        <v>18958</v>
      </c>
      <c r="G374" s="4" t="s">
        <v>484</v>
      </c>
      <c r="H374" s="4" t="s">
        <v>485</v>
      </c>
      <c r="I374" s="4"/>
      <c r="J374" s="4"/>
      <c r="K374" s="4">
        <v>212</v>
      </c>
      <c r="L374" s="4">
        <v>173</v>
      </c>
      <c r="M374" s="4">
        <v>3</v>
      </c>
      <c r="N374" s="4" t="s">
        <v>2</v>
      </c>
      <c r="O374" s="4">
        <v>0</v>
      </c>
      <c r="P374" s="4"/>
      <c r="Q374" s="4"/>
      <c r="R374" s="4"/>
      <c r="S374" s="4"/>
      <c r="T374" s="4"/>
      <c r="U374" s="4"/>
      <c r="V374" s="4"/>
      <c r="W374" s="4"/>
    </row>
    <row r="375" spans="1:206" x14ac:dyDescent="0.2">
      <c r="A375" s="4">
        <v>50</v>
      </c>
      <c r="B375" s="4">
        <v>0</v>
      </c>
      <c r="C375" s="4">
        <v>0</v>
      </c>
      <c r="D375" s="4">
        <v>2</v>
      </c>
      <c r="E375" s="4">
        <v>215</v>
      </c>
      <c r="F375" s="4">
        <f>ROUND(F248,O375)</f>
        <v>216</v>
      </c>
      <c r="G375" s="4" t="s">
        <v>486</v>
      </c>
      <c r="H375" s="4" t="s">
        <v>487</v>
      </c>
      <c r="I375" s="4"/>
      <c r="J375" s="4"/>
      <c r="K375" s="4">
        <v>212</v>
      </c>
      <c r="L375" s="4">
        <v>174</v>
      </c>
      <c r="M375" s="4">
        <v>3</v>
      </c>
      <c r="N375" s="4" t="s">
        <v>2</v>
      </c>
      <c r="O375" s="4">
        <v>0</v>
      </c>
      <c r="P375" s="4"/>
      <c r="Q375" s="4"/>
      <c r="R375" s="4"/>
      <c r="S375" s="4"/>
      <c r="T375" s="4"/>
      <c r="U375" s="4"/>
      <c r="V375" s="4"/>
      <c r="W375" s="4"/>
    </row>
    <row r="376" spans="1:206" x14ac:dyDescent="0.2">
      <c r="A376" s="4">
        <v>50</v>
      </c>
      <c r="B376" s="4">
        <v>0</v>
      </c>
      <c r="C376" s="4">
        <v>0</v>
      </c>
      <c r="D376" s="4">
        <v>2</v>
      </c>
      <c r="E376" s="4">
        <v>216</v>
      </c>
      <c r="F376" s="4">
        <f>ROUND(F236,O376)</f>
        <v>0</v>
      </c>
      <c r="G376" s="4" t="s">
        <v>488</v>
      </c>
      <c r="H376" s="4" t="s">
        <v>489</v>
      </c>
      <c r="I376" s="4"/>
      <c r="J376" s="4"/>
      <c r="K376" s="4">
        <v>212</v>
      </c>
      <c r="L376" s="4">
        <v>175</v>
      </c>
      <c r="M376" s="4">
        <v>3</v>
      </c>
      <c r="N376" s="4" t="s">
        <v>2</v>
      </c>
      <c r="O376" s="4">
        <v>0</v>
      </c>
      <c r="P376" s="4"/>
      <c r="Q376" s="4"/>
      <c r="R376" s="4"/>
      <c r="S376" s="4"/>
      <c r="T376" s="4"/>
      <c r="U376" s="4"/>
      <c r="V376" s="4"/>
      <c r="W376" s="4"/>
    </row>
    <row r="377" spans="1:206" x14ac:dyDescent="0.2">
      <c r="A377" s="4">
        <v>50</v>
      </c>
      <c r="B377" s="4">
        <v>0</v>
      </c>
      <c r="C377" s="4">
        <v>0</v>
      </c>
      <c r="D377" s="4">
        <v>2</v>
      </c>
      <c r="E377" s="4">
        <v>217</v>
      </c>
      <c r="F377" s="4">
        <f>ROUND(F356+F344,O377)</f>
        <v>0</v>
      </c>
      <c r="G377" s="4" t="s">
        <v>490</v>
      </c>
      <c r="H377" s="4" t="s">
        <v>491</v>
      </c>
      <c r="I377" s="4"/>
      <c r="J377" s="4"/>
      <c r="K377" s="4">
        <v>212</v>
      </c>
      <c r="L377" s="4">
        <v>176</v>
      </c>
      <c r="M377" s="4">
        <v>3</v>
      </c>
      <c r="N377" s="4" t="s">
        <v>2</v>
      </c>
      <c r="O377" s="4">
        <v>0</v>
      </c>
      <c r="P377" s="4"/>
      <c r="Q377" s="4"/>
      <c r="R377" s="4"/>
      <c r="S377" s="4"/>
      <c r="T377" s="4"/>
      <c r="U377" s="4"/>
      <c r="V377" s="4"/>
      <c r="W377" s="4"/>
    </row>
    <row r="378" spans="1:206" x14ac:dyDescent="0.2">
      <c r="A378" s="4">
        <v>50</v>
      </c>
      <c r="B378" s="4">
        <v>0</v>
      </c>
      <c r="C378" s="4">
        <v>0</v>
      </c>
      <c r="D378" s="4">
        <v>2</v>
      </c>
      <c r="E378" s="4">
        <v>213</v>
      </c>
      <c r="F378" s="4">
        <f>ROUND(F374+F375+F376+F377,O378)</f>
        <v>19174</v>
      </c>
      <c r="G378" s="4" t="s">
        <v>458</v>
      </c>
      <c r="H378" s="4" t="s">
        <v>492</v>
      </c>
      <c r="I378" s="4"/>
      <c r="J378" s="4"/>
      <c r="K378" s="4">
        <v>212</v>
      </c>
      <c r="L378" s="4">
        <v>177</v>
      </c>
      <c r="M378" s="4">
        <v>3</v>
      </c>
      <c r="N378" s="4" t="s">
        <v>2</v>
      </c>
      <c r="O378" s="4">
        <v>0</v>
      </c>
      <c r="P378" s="4"/>
      <c r="Q378" s="4"/>
      <c r="R378" s="4"/>
      <c r="S378" s="4"/>
      <c r="T378" s="4"/>
      <c r="U378" s="4"/>
      <c r="V378" s="4"/>
      <c r="W378" s="4"/>
    </row>
    <row r="380" spans="1:206" x14ac:dyDescent="0.2">
      <c r="A380" s="2">
        <v>51</v>
      </c>
      <c r="B380" s="2">
        <f>B12</f>
        <v>479</v>
      </c>
      <c r="C380" s="2">
        <f>A12</f>
        <v>1</v>
      </c>
      <c r="D380" s="2">
        <f>ROW(A12)</f>
        <v>12</v>
      </c>
      <c r="E380" s="2"/>
      <c r="F380" s="2" t="str">
        <f>IF(F12&lt;&gt;"",F12,"")</f>
        <v>С2</v>
      </c>
      <c r="G380" s="2" t="str">
        <f>IF(G12&lt;&gt;"",G12,"")</f>
        <v>Капитальный ремонт помещений здания управления</v>
      </c>
      <c r="H380" s="2">
        <v>0</v>
      </c>
      <c r="I380" s="2"/>
      <c r="J380" s="2"/>
      <c r="K380" s="2"/>
      <c r="L380" s="2"/>
      <c r="M380" s="2"/>
      <c r="N380" s="2"/>
      <c r="O380" s="2">
        <f t="shared" ref="O380:T380" si="157">ROUND(O200,0)</f>
        <v>16325</v>
      </c>
      <c r="P380" s="2">
        <f t="shared" si="157"/>
        <v>14104</v>
      </c>
      <c r="Q380" s="2">
        <f t="shared" si="157"/>
        <v>375</v>
      </c>
      <c r="R380" s="2">
        <f t="shared" si="157"/>
        <v>35</v>
      </c>
      <c r="S380" s="2">
        <f t="shared" si="157"/>
        <v>1846</v>
      </c>
      <c r="T380" s="2">
        <f t="shared" si="157"/>
        <v>0</v>
      </c>
      <c r="U380" s="2">
        <f>U200</f>
        <v>212.77353589999996</v>
      </c>
      <c r="V380" s="2">
        <f>V200</f>
        <v>3.0041785999999999</v>
      </c>
      <c r="W380" s="2">
        <f>ROUND(W200,0)</f>
        <v>0</v>
      </c>
      <c r="X380" s="2">
        <f>ROUND(X200,0)</f>
        <v>1904</v>
      </c>
      <c r="Y380" s="2">
        <f>ROUND(Y200,0)</f>
        <v>945</v>
      </c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>
        <f t="shared" ref="AO380:BD380" si="158">ROUND(AO200,0)</f>
        <v>0</v>
      </c>
      <c r="AP380" s="2">
        <f t="shared" si="158"/>
        <v>0</v>
      </c>
      <c r="AQ380" s="2">
        <f t="shared" si="158"/>
        <v>0</v>
      </c>
      <c r="AR380" s="2">
        <f t="shared" si="158"/>
        <v>19174</v>
      </c>
      <c r="AS380" s="2">
        <f t="shared" si="158"/>
        <v>18958</v>
      </c>
      <c r="AT380" s="2">
        <f t="shared" si="158"/>
        <v>216</v>
      </c>
      <c r="AU380" s="2">
        <f t="shared" si="158"/>
        <v>0</v>
      </c>
      <c r="AV380" s="2">
        <f t="shared" si="158"/>
        <v>14104</v>
      </c>
      <c r="AW380" s="2">
        <f t="shared" si="158"/>
        <v>14104</v>
      </c>
      <c r="AX380" s="2">
        <f t="shared" si="158"/>
        <v>0</v>
      </c>
      <c r="AY380" s="2">
        <f t="shared" si="158"/>
        <v>14104</v>
      </c>
      <c r="AZ380" s="2">
        <f t="shared" si="158"/>
        <v>0</v>
      </c>
      <c r="BA380" s="2">
        <f t="shared" si="158"/>
        <v>0</v>
      </c>
      <c r="BB380" s="2">
        <f t="shared" si="158"/>
        <v>0</v>
      </c>
      <c r="BC380" s="2">
        <f t="shared" si="158"/>
        <v>0</v>
      </c>
      <c r="BD380" s="2">
        <f t="shared" si="158"/>
        <v>0</v>
      </c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  <c r="FA380" s="3"/>
      <c r="FB380" s="3"/>
      <c r="FC380" s="3"/>
      <c r="FD380" s="3"/>
      <c r="FE380" s="3"/>
      <c r="FF380" s="3"/>
      <c r="FG380" s="3"/>
      <c r="FH380" s="3"/>
      <c r="FI380" s="3"/>
      <c r="FJ380" s="3"/>
      <c r="FK380" s="3"/>
      <c r="FL380" s="3"/>
      <c r="FM380" s="3"/>
      <c r="FN380" s="3"/>
      <c r="FO380" s="3"/>
      <c r="FP380" s="3"/>
      <c r="FQ380" s="3"/>
      <c r="FR380" s="3"/>
      <c r="FS380" s="3"/>
      <c r="FT380" s="3"/>
      <c r="FU380" s="3"/>
      <c r="FV380" s="3"/>
      <c r="FW380" s="3"/>
      <c r="FX380" s="3"/>
      <c r="FY380" s="3"/>
      <c r="FZ380" s="3"/>
      <c r="GA380" s="3"/>
      <c r="GB380" s="3"/>
      <c r="GC380" s="3"/>
      <c r="GD380" s="3"/>
      <c r="GE380" s="3"/>
      <c r="GF380" s="3"/>
      <c r="GG380" s="3"/>
      <c r="GH380" s="3"/>
      <c r="GI380" s="3"/>
      <c r="GJ380" s="3"/>
      <c r="GK380" s="3"/>
      <c r="GL380" s="3"/>
      <c r="GM380" s="3"/>
      <c r="GN380" s="3"/>
      <c r="GO380" s="3"/>
      <c r="GP380" s="3"/>
      <c r="GQ380" s="3"/>
      <c r="GR380" s="3"/>
      <c r="GS380" s="3"/>
      <c r="GT380" s="3"/>
      <c r="GU380" s="3"/>
      <c r="GV380" s="3"/>
      <c r="GW380" s="3"/>
      <c r="GX380" s="3">
        <v>0</v>
      </c>
    </row>
    <row r="382" spans="1:206" x14ac:dyDescent="0.2">
      <c r="A382" s="4">
        <v>50</v>
      </c>
      <c r="B382" s="4">
        <v>0</v>
      </c>
      <c r="C382" s="4">
        <v>0</v>
      </c>
      <c r="D382" s="4">
        <v>1</v>
      </c>
      <c r="E382" s="4">
        <v>201</v>
      </c>
      <c r="F382" s="4">
        <f>ROUND(Source!O380,O382)</f>
        <v>16325</v>
      </c>
      <c r="G382" s="4" t="s">
        <v>120</v>
      </c>
      <c r="H382" s="4" t="s">
        <v>121</v>
      </c>
      <c r="I382" s="4"/>
      <c r="J382" s="4"/>
      <c r="K382" s="4">
        <v>201</v>
      </c>
      <c r="L382" s="4">
        <v>1</v>
      </c>
      <c r="M382" s="4">
        <v>3</v>
      </c>
      <c r="N382" s="4" t="s">
        <v>2</v>
      </c>
      <c r="O382" s="4">
        <v>0</v>
      </c>
      <c r="P382" s="4"/>
      <c r="Q382" s="4"/>
      <c r="R382" s="4"/>
      <c r="S382" s="4"/>
      <c r="T382" s="4"/>
      <c r="U382" s="4"/>
      <c r="V382" s="4"/>
      <c r="W382" s="4"/>
    </row>
    <row r="383" spans="1:206" x14ac:dyDescent="0.2">
      <c r="A383" s="4">
        <v>50</v>
      </c>
      <c r="B383" s="4">
        <v>0</v>
      </c>
      <c r="C383" s="4">
        <v>0</v>
      </c>
      <c r="D383" s="4">
        <v>1</v>
      </c>
      <c r="E383" s="4">
        <v>202</v>
      </c>
      <c r="F383" s="4">
        <f>ROUND(Source!P380,O383)</f>
        <v>14104</v>
      </c>
      <c r="G383" s="4" t="s">
        <v>122</v>
      </c>
      <c r="H383" s="4" t="s">
        <v>123</v>
      </c>
      <c r="I383" s="4"/>
      <c r="J383" s="4"/>
      <c r="K383" s="4">
        <v>202</v>
      </c>
      <c r="L383" s="4">
        <v>2</v>
      </c>
      <c r="M383" s="4">
        <v>3</v>
      </c>
      <c r="N383" s="4" t="s">
        <v>2</v>
      </c>
      <c r="O383" s="4">
        <v>0</v>
      </c>
      <c r="P383" s="4"/>
      <c r="Q383" s="4"/>
      <c r="R383" s="4"/>
      <c r="S383" s="4"/>
      <c r="T383" s="4"/>
      <c r="U383" s="4"/>
      <c r="V383" s="4"/>
      <c r="W383" s="4"/>
    </row>
    <row r="384" spans="1:206" x14ac:dyDescent="0.2">
      <c r="A384" s="4">
        <v>50</v>
      </c>
      <c r="B384" s="4">
        <v>0</v>
      </c>
      <c r="C384" s="4">
        <v>0</v>
      </c>
      <c r="D384" s="4">
        <v>1</v>
      </c>
      <c r="E384" s="4">
        <v>222</v>
      </c>
      <c r="F384" s="4">
        <f>ROUND(Source!AO380,O384)</f>
        <v>0</v>
      </c>
      <c r="G384" s="4" t="s">
        <v>124</v>
      </c>
      <c r="H384" s="4" t="s">
        <v>125</v>
      </c>
      <c r="I384" s="4"/>
      <c r="J384" s="4"/>
      <c r="K384" s="4">
        <v>222</v>
      </c>
      <c r="L384" s="4">
        <v>3</v>
      </c>
      <c r="M384" s="4">
        <v>3</v>
      </c>
      <c r="N384" s="4" t="s">
        <v>2</v>
      </c>
      <c r="O384" s="4">
        <v>0</v>
      </c>
      <c r="P384" s="4"/>
      <c r="Q384" s="4"/>
      <c r="R384" s="4"/>
      <c r="S384" s="4"/>
      <c r="T384" s="4"/>
      <c r="U384" s="4"/>
      <c r="V384" s="4"/>
      <c r="W384" s="4"/>
    </row>
    <row r="385" spans="1:23" x14ac:dyDescent="0.2">
      <c r="A385" s="4">
        <v>50</v>
      </c>
      <c r="B385" s="4">
        <v>0</v>
      </c>
      <c r="C385" s="4">
        <v>0</v>
      </c>
      <c r="D385" s="4">
        <v>1</v>
      </c>
      <c r="E385" s="4">
        <v>225</v>
      </c>
      <c r="F385" s="4">
        <f>ROUND(Source!AV380,O385)</f>
        <v>14104</v>
      </c>
      <c r="G385" s="4" t="s">
        <v>126</v>
      </c>
      <c r="H385" s="4" t="s">
        <v>127</v>
      </c>
      <c r="I385" s="4"/>
      <c r="J385" s="4"/>
      <c r="K385" s="4">
        <v>225</v>
      </c>
      <c r="L385" s="4">
        <v>4</v>
      </c>
      <c r="M385" s="4">
        <v>3</v>
      </c>
      <c r="N385" s="4" t="s">
        <v>2</v>
      </c>
      <c r="O385" s="4">
        <v>0</v>
      </c>
      <c r="P385" s="4"/>
      <c r="Q385" s="4"/>
      <c r="R385" s="4"/>
      <c r="S385" s="4"/>
      <c r="T385" s="4"/>
      <c r="U385" s="4"/>
      <c r="V385" s="4"/>
      <c r="W385" s="4"/>
    </row>
    <row r="386" spans="1:23" x14ac:dyDescent="0.2">
      <c r="A386" s="4">
        <v>50</v>
      </c>
      <c r="B386" s="4">
        <v>0</v>
      </c>
      <c r="C386" s="4">
        <v>0</v>
      </c>
      <c r="D386" s="4">
        <v>1</v>
      </c>
      <c r="E386" s="4">
        <v>226</v>
      </c>
      <c r="F386" s="4">
        <f>ROUND(Source!AW380,O386)</f>
        <v>14104</v>
      </c>
      <c r="G386" s="4" t="s">
        <v>128</v>
      </c>
      <c r="H386" s="4" t="s">
        <v>129</v>
      </c>
      <c r="I386" s="4"/>
      <c r="J386" s="4"/>
      <c r="K386" s="4">
        <v>226</v>
      </c>
      <c r="L386" s="4">
        <v>5</v>
      </c>
      <c r="M386" s="4">
        <v>3</v>
      </c>
      <c r="N386" s="4" t="s">
        <v>2</v>
      </c>
      <c r="O386" s="4">
        <v>0</v>
      </c>
      <c r="P386" s="4"/>
      <c r="Q386" s="4"/>
      <c r="R386" s="4"/>
      <c r="S386" s="4"/>
      <c r="T386" s="4"/>
      <c r="U386" s="4"/>
      <c r="V386" s="4"/>
      <c r="W386" s="4"/>
    </row>
    <row r="387" spans="1:23" x14ac:dyDescent="0.2">
      <c r="A387" s="4">
        <v>50</v>
      </c>
      <c r="B387" s="4">
        <v>0</v>
      </c>
      <c r="C387" s="4">
        <v>0</v>
      </c>
      <c r="D387" s="4">
        <v>1</v>
      </c>
      <c r="E387" s="4">
        <v>227</v>
      </c>
      <c r="F387" s="4">
        <f>ROUND(Source!AX380,O387)</f>
        <v>0</v>
      </c>
      <c r="G387" s="4" t="s">
        <v>130</v>
      </c>
      <c r="H387" s="4" t="s">
        <v>131</v>
      </c>
      <c r="I387" s="4"/>
      <c r="J387" s="4"/>
      <c r="K387" s="4">
        <v>227</v>
      </c>
      <c r="L387" s="4">
        <v>6</v>
      </c>
      <c r="M387" s="4">
        <v>3</v>
      </c>
      <c r="N387" s="4" t="s">
        <v>2</v>
      </c>
      <c r="O387" s="4">
        <v>0</v>
      </c>
      <c r="P387" s="4"/>
      <c r="Q387" s="4"/>
      <c r="R387" s="4"/>
      <c r="S387" s="4"/>
      <c r="T387" s="4"/>
      <c r="U387" s="4"/>
      <c r="V387" s="4"/>
      <c r="W387" s="4"/>
    </row>
    <row r="388" spans="1:23" x14ac:dyDescent="0.2">
      <c r="A388" s="4">
        <v>50</v>
      </c>
      <c r="B388" s="4">
        <v>0</v>
      </c>
      <c r="C388" s="4">
        <v>0</v>
      </c>
      <c r="D388" s="4">
        <v>1</v>
      </c>
      <c r="E388" s="4">
        <v>228</v>
      </c>
      <c r="F388" s="4">
        <f>ROUND(Source!AY380,O388)</f>
        <v>14104</v>
      </c>
      <c r="G388" s="4" t="s">
        <v>132</v>
      </c>
      <c r="H388" s="4" t="s">
        <v>133</v>
      </c>
      <c r="I388" s="4"/>
      <c r="J388" s="4"/>
      <c r="K388" s="4">
        <v>228</v>
      </c>
      <c r="L388" s="4">
        <v>7</v>
      </c>
      <c r="M388" s="4">
        <v>3</v>
      </c>
      <c r="N388" s="4" t="s">
        <v>2</v>
      </c>
      <c r="O388" s="4">
        <v>0</v>
      </c>
      <c r="P388" s="4"/>
      <c r="Q388" s="4"/>
      <c r="R388" s="4"/>
      <c r="S388" s="4"/>
      <c r="T388" s="4"/>
      <c r="U388" s="4"/>
      <c r="V388" s="4"/>
      <c r="W388" s="4"/>
    </row>
    <row r="389" spans="1:23" x14ac:dyDescent="0.2">
      <c r="A389" s="4">
        <v>50</v>
      </c>
      <c r="B389" s="4">
        <v>0</v>
      </c>
      <c r="C389" s="4">
        <v>0</v>
      </c>
      <c r="D389" s="4">
        <v>1</v>
      </c>
      <c r="E389" s="4">
        <v>216</v>
      </c>
      <c r="F389" s="4">
        <f>ROUND(Source!AP380,O389)</f>
        <v>0</v>
      </c>
      <c r="G389" s="4" t="s">
        <v>134</v>
      </c>
      <c r="H389" s="4" t="s">
        <v>135</v>
      </c>
      <c r="I389" s="4"/>
      <c r="J389" s="4"/>
      <c r="K389" s="4">
        <v>216</v>
      </c>
      <c r="L389" s="4">
        <v>8</v>
      </c>
      <c r="M389" s="4">
        <v>3</v>
      </c>
      <c r="N389" s="4" t="s">
        <v>2</v>
      </c>
      <c r="O389" s="4">
        <v>0</v>
      </c>
      <c r="P389" s="4"/>
      <c r="Q389" s="4"/>
      <c r="R389" s="4"/>
      <c r="S389" s="4"/>
      <c r="T389" s="4"/>
      <c r="U389" s="4"/>
      <c r="V389" s="4"/>
      <c r="W389" s="4"/>
    </row>
    <row r="390" spans="1:23" x14ac:dyDescent="0.2">
      <c r="A390" s="4">
        <v>50</v>
      </c>
      <c r="B390" s="4">
        <v>0</v>
      </c>
      <c r="C390" s="4">
        <v>0</v>
      </c>
      <c r="D390" s="4">
        <v>1</v>
      </c>
      <c r="E390" s="4">
        <v>223</v>
      </c>
      <c r="F390" s="4">
        <f>ROUND(Source!AQ380,O390)</f>
        <v>0</v>
      </c>
      <c r="G390" s="4" t="s">
        <v>136</v>
      </c>
      <c r="H390" s="4" t="s">
        <v>137</v>
      </c>
      <c r="I390" s="4"/>
      <c r="J390" s="4"/>
      <c r="K390" s="4">
        <v>223</v>
      </c>
      <c r="L390" s="4">
        <v>9</v>
      </c>
      <c r="M390" s="4">
        <v>3</v>
      </c>
      <c r="N390" s="4" t="s">
        <v>2</v>
      </c>
      <c r="O390" s="4">
        <v>0</v>
      </c>
      <c r="P390" s="4"/>
      <c r="Q390" s="4"/>
      <c r="R390" s="4"/>
      <c r="S390" s="4"/>
      <c r="T390" s="4"/>
      <c r="U390" s="4"/>
      <c r="V390" s="4"/>
      <c r="W390" s="4"/>
    </row>
    <row r="391" spans="1:23" x14ac:dyDescent="0.2">
      <c r="A391" s="4">
        <v>50</v>
      </c>
      <c r="B391" s="4">
        <v>0</v>
      </c>
      <c r="C391" s="4">
        <v>0</v>
      </c>
      <c r="D391" s="4">
        <v>1</v>
      </c>
      <c r="E391" s="4">
        <v>229</v>
      </c>
      <c r="F391" s="4">
        <f>ROUND(Source!AZ380,O391)</f>
        <v>0</v>
      </c>
      <c r="G391" s="4" t="s">
        <v>138</v>
      </c>
      <c r="H391" s="4" t="s">
        <v>139</v>
      </c>
      <c r="I391" s="4"/>
      <c r="J391" s="4"/>
      <c r="K391" s="4">
        <v>229</v>
      </c>
      <c r="L391" s="4">
        <v>10</v>
      </c>
      <c r="M391" s="4">
        <v>3</v>
      </c>
      <c r="N391" s="4" t="s">
        <v>2</v>
      </c>
      <c r="O391" s="4">
        <v>0</v>
      </c>
      <c r="P391" s="4"/>
      <c r="Q391" s="4"/>
      <c r="R391" s="4"/>
      <c r="S391" s="4"/>
      <c r="T391" s="4"/>
      <c r="U391" s="4"/>
      <c r="V391" s="4"/>
      <c r="W391" s="4"/>
    </row>
    <row r="392" spans="1:23" x14ac:dyDescent="0.2">
      <c r="A392" s="4">
        <v>50</v>
      </c>
      <c r="B392" s="4">
        <v>0</v>
      </c>
      <c r="C392" s="4">
        <v>0</v>
      </c>
      <c r="D392" s="4">
        <v>1</v>
      </c>
      <c r="E392" s="4">
        <v>203</v>
      </c>
      <c r="F392" s="4">
        <f>ROUND(Source!Q380,O392)</f>
        <v>375</v>
      </c>
      <c r="G392" s="4" t="s">
        <v>140</v>
      </c>
      <c r="H392" s="4" t="s">
        <v>141</v>
      </c>
      <c r="I392" s="4"/>
      <c r="J392" s="4"/>
      <c r="K392" s="4">
        <v>203</v>
      </c>
      <c r="L392" s="4">
        <v>11</v>
      </c>
      <c r="M392" s="4">
        <v>3</v>
      </c>
      <c r="N392" s="4" t="s">
        <v>2</v>
      </c>
      <c r="O392" s="4">
        <v>0</v>
      </c>
      <c r="P392" s="4"/>
      <c r="Q392" s="4"/>
      <c r="R392" s="4"/>
      <c r="S392" s="4"/>
      <c r="T392" s="4"/>
      <c r="U392" s="4"/>
      <c r="V392" s="4"/>
      <c r="W392" s="4"/>
    </row>
    <row r="393" spans="1:23" x14ac:dyDescent="0.2">
      <c r="A393" s="4">
        <v>50</v>
      </c>
      <c r="B393" s="4">
        <v>0</v>
      </c>
      <c r="C393" s="4">
        <v>0</v>
      </c>
      <c r="D393" s="4">
        <v>1</v>
      </c>
      <c r="E393" s="4">
        <v>231</v>
      </c>
      <c r="F393" s="4">
        <f>ROUND(Source!BB380,O393)</f>
        <v>0</v>
      </c>
      <c r="G393" s="4" t="s">
        <v>142</v>
      </c>
      <c r="H393" s="4" t="s">
        <v>143</v>
      </c>
      <c r="I393" s="4"/>
      <c r="J393" s="4"/>
      <c r="K393" s="4">
        <v>231</v>
      </c>
      <c r="L393" s="4">
        <v>12</v>
      </c>
      <c r="M393" s="4">
        <v>3</v>
      </c>
      <c r="N393" s="4" t="s">
        <v>2</v>
      </c>
      <c r="O393" s="4">
        <v>0</v>
      </c>
      <c r="P393" s="4"/>
      <c r="Q393" s="4"/>
      <c r="R393" s="4"/>
      <c r="S393" s="4"/>
      <c r="T393" s="4"/>
      <c r="U393" s="4"/>
      <c r="V393" s="4"/>
      <c r="W393" s="4"/>
    </row>
    <row r="394" spans="1:23" x14ac:dyDescent="0.2">
      <c r="A394" s="4">
        <v>50</v>
      </c>
      <c r="B394" s="4">
        <v>0</v>
      </c>
      <c r="C394" s="4">
        <v>0</v>
      </c>
      <c r="D394" s="4">
        <v>1</v>
      </c>
      <c r="E394" s="4">
        <v>204</v>
      </c>
      <c r="F394" s="4">
        <f>ROUND(Source!R380,O394)</f>
        <v>35</v>
      </c>
      <c r="G394" s="4" t="s">
        <v>144</v>
      </c>
      <c r="H394" s="4" t="s">
        <v>145</v>
      </c>
      <c r="I394" s="4"/>
      <c r="J394" s="4"/>
      <c r="K394" s="4">
        <v>204</v>
      </c>
      <c r="L394" s="4">
        <v>13</v>
      </c>
      <c r="M394" s="4">
        <v>3</v>
      </c>
      <c r="N394" s="4" t="s">
        <v>2</v>
      </c>
      <c r="O394" s="4">
        <v>0</v>
      </c>
      <c r="P394" s="4"/>
      <c r="Q394" s="4"/>
      <c r="R394" s="4"/>
      <c r="S394" s="4"/>
      <c r="T394" s="4"/>
      <c r="U394" s="4"/>
      <c r="V394" s="4"/>
      <c r="W394" s="4"/>
    </row>
    <row r="395" spans="1:23" x14ac:dyDescent="0.2">
      <c r="A395" s="4">
        <v>50</v>
      </c>
      <c r="B395" s="4">
        <v>0</v>
      </c>
      <c r="C395" s="4">
        <v>0</v>
      </c>
      <c r="D395" s="4">
        <v>1</v>
      </c>
      <c r="E395" s="4">
        <v>205</v>
      </c>
      <c r="F395" s="4">
        <f>ROUND(Source!S380,O395)</f>
        <v>1846</v>
      </c>
      <c r="G395" s="4" t="s">
        <v>146</v>
      </c>
      <c r="H395" s="4" t="s">
        <v>147</v>
      </c>
      <c r="I395" s="4"/>
      <c r="J395" s="4"/>
      <c r="K395" s="4">
        <v>205</v>
      </c>
      <c r="L395" s="4">
        <v>14</v>
      </c>
      <c r="M395" s="4">
        <v>3</v>
      </c>
      <c r="N395" s="4" t="s">
        <v>2</v>
      </c>
      <c r="O395" s="4">
        <v>0</v>
      </c>
      <c r="P395" s="4"/>
      <c r="Q395" s="4"/>
      <c r="R395" s="4"/>
      <c r="S395" s="4"/>
      <c r="T395" s="4"/>
      <c r="U395" s="4"/>
      <c r="V395" s="4"/>
      <c r="W395" s="4"/>
    </row>
    <row r="396" spans="1:23" x14ac:dyDescent="0.2">
      <c r="A396" s="4">
        <v>50</v>
      </c>
      <c r="B396" s="4">
        <v>0</v>
      </c>
      <c r="C396" s="4">
        <v>0</v>
      </c>
      <c r="D396" s="4">
        <v>1</v>
      </c>
      <c r="E396" s="4">
        <v>232</v>
      </c>
      <c r="F396" s="4">
        <f>ROUND(Source!BC380,O396)</f>
        <v>0</v>
      </c>
      <c r="G396" s="4" t="s">
        <v>148</v>
      </c>
      <c r="H396" s="4" t="s">
        <v>149</v>
      </c>
      <c r="I396" s="4"/>
      <c r="J396" s="4"/>
      <c r="K396" s="4">
        <v>232</v>
      </c>
      <c r="L396" s="4">
        <v>15</v>
      </c>
      <c r="M396" s="4">
        <v>3</v>
      </c>
      <c r="N396" s="4" t="s">
        <v>2</v>
      </c>
      <c r="O396" s="4">
        <v>0</v>
      </c>
      <c r="P396" s="4"/>
      <c r="Q396" s="4"/>
      <c r="R396" s="4"/>
      <c r="S396" s="4"/>
      <c r="T396" s="4"/>
      <c r="U396" s="4"/>
      <c r="V396" s="4"/>
      <c r="W396" s="4"/>
    </row>
    <row r="397" spans="1:23" x14ac:dyDescent="0.2">
      <c r="A397" s="4">
        <v>50</v>
      </c>
      <c r="B397" s="4">
        <v>0</v>
      </c>
      <c r="C397" s="4">
        <v>0</v>
      </c>
      <c r="D397" s="4">
        <v>1</v>
      </c>
      <c r="E397" s="4">
        <v>214</v>
      </c>
      <c r="F397" s="4">
        <f>ROUND(Source!AS380,O397)</f>
        <v>18958</v>
      </c>
      <c r="G397" s="4" t="s">
        <v>150</v>
      </c>
      <c r="H397" s="4" t="s">
        <v>151</v>
      </c>
      <c r="I397" s="4"/>
      <c r="J397" s="4"/>
      <c r="K397" s="4">
        <v>214</v>
      </c>
      <c r="L397" s="4">
        <v>16</v>
      </c>
      <c r="M397" s="4">
        <v>3</v>
      </c>
      <c r="N397" s="4" t="s">
        <v>2</v>
      </c>
      <c r="O397" s="4">
        <v>0</v>
      </c>
      <c r="P397" s="4"/>
      <c r="Q397" s="4"/>
      <c r="R397" s="4"/>
      <c r="S397" s="4"/>
      <c r="T397" s="4"/>
      <c r="U397" s="4"/>
      <c r="V397" s="4"/>
      <c r="W397" s="4"/>
    </row>
    <row r="398" spans="1:23" x14ac:dyDescent="0.2">
      <c r="A398" s="4">
        <v>50</v>
      </c>
      <c r="B398" s="4">
        <v>0</v>
      </c>
      <c r="C398" s="4">
        <v>0</v>
      </c>
      <c r="D398" s="4">
        <v>1</v>
      </c>
      <c r="E398" s="4">
        <v>215</v>
      </c>
      <c r="F398" s="4">
        <f>ROUND(Source!AT380,O398)</f>
        <v>216</v>
      </c>
      <c r="G398" s="4" t="s">
        <v>152</v>
      </c>
      <c r="H398" s="4" t="s">
        <v>153</v>
      </c>
      <c r="I398" s="4"/>
      <c r="J398" s="4"/>
      <c r="K398" s="4">
        <v>215</v>
      </c>
      <c r="L398" s="4">
        <v>17</v>
      </c>
      <c r="M398" s="4">
        <v>3</v>
      </c>
      <c r="N398" s="4" t="s">
        <v>2</v>
      </c>
      <c r="O398" s="4">
        <v>0</v>
      </c>
      <c r="P398" s="4"/>
      <c r="Q398" s="4"/>
      <c r="R398" s="4"/>
      <c r="S398" s="4"/>
      <c r="T398" s="4"/>
      <c r="U398" s="4"/>
      <c r="V398" s="4"/>
      <c r="W398" s="4"/>
    </row>
    <row r="399" spans="1:23" x14ac:dyDescent="0.2">
      <c r="A399" s="4">
        <v>50</v>
      </c>
      <c r="B399" s="4">
        <v>0</v>
      </c>
      <c r="C399" s="4">
        <v>0</v>
      </c>
      <c r="D399" s="4">
        <v>1</v>
      </c>
      <c r="E399" s="4">
        <v>217</v>
      </c>
      <c r="F399" s="4">
        <f>ROUND(Source!AU380,O399)</f>
        <v>0</v>
      </c>
      <c r="G399" s="4" t="s">
        <v>154</v>
      </c>
      <c r="H399" s="4" t="s">
        <v>155</v>
      </c>
      <c r="I399" s="4"/>
      <c r="J399" s="4"/>
      <c r="K399" s="4">
        <v>217</v>
      </c>
      <c r="L399" s="4">
        <v>18</v>
      </c>
      <c r="M399" s="4">
        <v>3</v>
      </c>
      <c r="N399" s="4" t="s">
        <v>2</v>
      </c>
      <c r="O399" s="4">
        <v>0</v>
      </c>
      <c r="P399" s="4"/>
      <c r="Q399" s="4"/>
      <c r="R399" s="4"/>
      <c r="S399" s="4"/>
      <c r="T399" s="4"/>
      <c r="U399" s="4"/>
      <c r="V399" s="4"/>
      <c r="W399" s="4"/>
    </row>
    <row r="400" spans="1:23" x14ac:dyDescent="0.2">
      <c r="A400" s="4">
        <v>50</v>
      </c>
      <c r="B400" s="4">
        <v>0</v>
      </c>
      <c r="C400" s="4">
        <v>0</v>
      </c>
      <c r="D400" s="4">
        <v>1</v>
      </c>
      <c r="E400" s="4">
        <v>230</v>
      </c>
      <c r="F400" s="4">
        <f>ROUND(Source!BA380,O400)</f>
        <v>0</v>
      </c>
      <c r="G400" s="4" t="s">
        <v>156</v>
      </c>
      <c r="H400" s="4" t="s">
        <v>157</v>
      </c>
      <c r="I400" s="4"/>
      <c r="J400" s="4"/>
      <c r="K400" s="4">
        <v>230</v>
      </c>
      <c r="L400" s="4">
        <v>19</v>
      </c>
      <c r="M400" s="4">
        <v>3</v>
      </c>
      <c r="N400" s="4" t="s">
        <v>2</v>
      </c>
      <c r="O400" s="4">
        <v>0</v>
      </c>
      <c r="P400" s="4"/>
      <c r="Q400" s="4"/>
      <c r="R400" s="4"/>
      <c r="S400" s="4"/>
      <c r="T400" s="4"/>
      <c r="U400" s="4"/>
      <c r="V400" s="4"/>
      <c r="W400" s="4"/>
    </row>
    <row r="401" spans="1:23" x14ac:dyDescent="0.2">
      <c r="A401" s="4">
        <v>50</v>
      </c>
      <c r="B401" s="4">
        <v>0</v>
      </c>
      <c r="C401" s="4">
        <v>0</v>
      </c>
      <c r="D401" s="4">
        <v>1</v>
      </c>
      <c r="E401" s="4">
        <v>206</v>
      </c>
      <c r="F401" s="4">
        <f>ROUND(Source!T380,O401)</f>
        <v>0</v>
      </c>
      <c r="G401" s="4" t="s">
        <v>158</v>
      </c>
      <c r="H401" s="4" t="s">
        <v>159</v>
      </c>
      <c r="I401" s="4"/>
      <c r="J401" s="4"/>
      <c r="K401" s="4">
        <v>206</v>
      </c>
      <c r="L401" s="4">
        <v>20</v>
      </c>
      <c r="M401" s="4">
        <v>3</v>
      </c>
      <c r="N401" s="4" t="s">
        <v>2</v>
      </c>
      <c r="O401" s="4">
        <v>0</v>
      </c>
      <c r="P401" s="4"/>
      <c r="Q401" s="4"/>
      <c r="R401" s="4"/>
      <c r="S401" s="4"/>
      <c r="T401" s="4"/>
      <c r="U401" s="4"/>
      <c r="V401" s="4"/>
      <c r="W401" s="4"/>
    </row>
    <row r="402" spans="1:23" x14ac:dyDescent="0.2">
      <c r="A402" s="4">
        <v>50</v>
      </c>
      <c r="B402" s="4">
        <v>0</v>
      </c>
      <c r="C402" s="4">
        <v>0</v>
      </c>
      <c r="D402" s="4">
        <v>1</v>
      </c>
      <c r="E402" s="4">
        <v>207</v>
      </c>
      <c r="F402" s="4">
        <f>Source!U380</f>
        <v>212.77353589999996</v>
      </c>
      <c r="G402" s="4" t="s">
        <v>160</v>
      </c>
      <c r="H402" s="4" t="s">
        <v>161</v>
      </c>
      <c r="I402" s="4"/>
      <c r="J402" s="4"/>
      <c r="K402" s="4">
        <v>207</v>
      </c>
      <c r="L402" s="4">
        <v>21</v>
      </c>
      <c r="M402" s="4">
        <v>3</v>
      </c>
      <c r="N402" s="4" t="s">
        <v>2</v>
      </c>
      <c r="O402" s="4">
        <v>-1</v>
      </c>
      <c r="P402" s="4"/>
      <c r="Q402" s="4"/>
      <c r="R402" s="4"/>
      <c r="S402" s="4"/>
      <c r="T402" s="4"/>
      <c r="U402" s="4"/>
      <c r="V402" s="4"/>
      <c r="W402" s="4"/>
    </row>
    <row r="403" spans="1:23" x14ac:dyDescent="0.2">
      <c r="A403" s="4">
        <v>50</v>
      </c>
      <c r="B403" s="4">
        <v>0</v>
      </c>
      <c r="C403" s="4">
        <v>0</v>
      </c>
      <c r="D403" s="4">
        <v>1</v>
      </c>
      <c r="E403" s="4">
        <v>208</v>
      </c>
      <c r="F403" s="4">
        <f>Source!V380</f>
        <v>3.0041785999999999</v>
      </c>
      <c r="G403" s="4" t="s">
        <v>162</v>
      </c>
      <c r="H403" s="4" t="s">
        <v>163</v>
      </c>
      <c r="I403" s="4"/>
      <c r="J403" s="4"/>
      <c r="K403" s="4">
        <v>208</v>
      </c>
      <c r="L403" s="4">
        <v>22</v>
      </c>
      <c r="M403" s="4">
        <v>3</v>
      </c>
      <c r="N403" s="4" t="s">
        <v>2</v>
      </c>
      <c r="O403" s="4">
        <v>-1</v>
      </c>
      <c r="P403" s="4"/>
      <c r="Q403" s="4"/>
      <c r="R403" s="4"/>
      <c r="S403" s="4"/>
      <c r="T403" s="4"/>
      <c r="U403" s="4"/>
      <c r="V403" s="4"/>
      <c r="W403" s="4"/>
    </row>
    <row r="404" spans="1:23" x14ac:dyDescent="0.2">
      <c r="A404" s="4">
        <v>50</v>
      </c>
      <c r="B404" s="4">
        <v>0</v>
      </c>
      <c r="C404" s="4">
        <v>0</v>
      </c>
      <c r="D404" s="4">
        <v>1</v>
      </c>
      <c r="E404" s="4">
        <v>209</v>
      </c>
      <c r="F404" s="4">
        <f>ROUND(Source!W380,O404)</f>
        <v>0</v>
      </c>
      <c r="G404" s="4" t="s">
        <v>164</v>
      </c>
      <c r="H404" s="4" t="s">
        <v>165</v>
      </c>
      <c r="I404" s="4"/>
      <c r="J404" s="4"/>
      <c r="K404" s="4">
        <v>209</v>
      </c>
      <c r="L404" s="4">
        <v>23</v>
      </c>
      <c r="M404" s="4">
        <v>3</v>
      </c>
      <c r="N404" s="4" t="s">
        <v>2</v>
      </c>
      <c r="O404" s="4">
        <v>0</v>
      </c>
      <c r="P404" s="4"/>
      <c r="Q404" s="4"/>
      <c r="R404" s="4"/>
      <c r="S404" s="4"/>
      <c r="T404" s="4"/>
      <c r="U404" s="4"/>
      <c r="V404" s="4"/>
      <c r="W404" s="4"/>
    </row>
    <row r="405" spans="1:23" x14ac:dyDescent="0.2">
      <c r="A405" s="4">
        <v>50</v>
      </c>
      <c r="B405" s="4">
        <v>0</v>
      </c>
      <c r="C405" s="4">
        <v>0</v>
      </c>
      <c r="D405" s="4">
        <v>1</v>
      </c>
      <c r="E405" s="4">
        <v>233</v>
      </c>
      <c r="F405" s="4">
        <f>ROUND(Source!BD380,O405)</f>
        <v>0</v>
      </c>
      <c r="G405" s="4" t="s">
        <v>166</v>
      </c>
      <c r="H405" s="4" t="s">
        <v>167</v>
      </c>
      <c r="I405" s="4"/>
      <c r="J405" s="4"/>
      <c r="K405" s="4">
        <v>233</v>
      </c>
      <c r="L405" s="4">
        <v>24</v>
      </c>
      <c r="M405" s="4">
        <v>3</v>
      </c>
      <c r="N405" s="4" t="s">
        <v>2</v>
      </c>
      <c r="O405" s="4">
        <v>0</v>
      </c>
      <c r="P405" s="4"/>
      <c r="Q405" s="4"/>
      <c r="R405" s="4"/>
      <c r="S405" s="4"/>
      <c r="T405" s="4"/>
      <c r="U405" s="4"/>
      <c r="V405" s="4"/>
      <c r="W405" s="4"/>
    </row>
    <row r="406" spans="1:23" x14ac:dyDescent="0.2">
      <c r="A406" s="4">
        <v>50</v>
      </c>
      <c r="B406" s="4">
        <v>0</v>
      </c>
      <c r="C406" s="4">
        <v>0</v>
      </c>
      <c r="D406" s="4">
        <v>1</v>
      </c>
      <c r="E406" s="4">
        <v>210</v>
      </c>
      <c r="F406" s="4">
        <f>ROUND(Source!X380,O406)</f>
        <v>1904</v>
      </c>
      <c r="G406" s="4" t="s">
        <v>168</v>
      </c>
      <c r="H406" s="4" t="s">
        <v>169</v>
      </c>
      <c r="I406" s="4"/>
      <c r="J406" s="4"/>
      <c r="K406" s="4">
        <v>210</v>
      </c>
      <c r="L406" s="4">
        <v>25</v>
      </c>
      <c r="M406" s="4">
        <v>3</v>
      </c>
      <c r="N406" s="4" t="s">
        <v>2</v>
      </c>
      <c r="O406" s="4">
        <v>0</v>
      </c>
      <c r="P406" s="4"/>
      <c r="Q406" s="4"/>
      <c r="R406" s="4"/>
      <c r="S406" s="4"/>
      <c r="T406" s="4"/>
      <c r="U406" s="4"/>
      <c r="V406" s="4"/>
      <c r="W406" s="4"/>
    </row>
    <row r="407" spans="1:23" x14ac:dyDescent="0.2">
      <c r="A407" s="4">
        <v>50</v>
      </c>
      <c r="B407" s="4">
        <v>0</v>
      </c>
      <c r="C407" s="4">
        <v>0</v>
      </c>
      <c r="D407" s="4">
        <v>1</v>
      </c>
      <c r="E407" s="4">
        <v>211</v>
      </c>
      <c r="F407" s="4">
        <f>ROUND(Source!Y380,O407)</f>
        <v>945</v>
      </c>
      <c r="G407" s="4" t="s">
        <v>170</v>
      </c>
      <c r="H407" s="4" t="s">
        <v>171</v>
      </c>
      <c r="I407" s="4"/>
      <c r="J407" s="4"/>
      <c r="K407" s="4">
        <v>211</v>
      </c>
      <c r="L407" s="4">
        <v>26</v>
      </c>
      <c r="M407" s="4">
        <v>3</v>
      </c>
      <c r="N407" s="4" t="s">
        <v>2</v>
      </c>
      <c r="O407" s="4">
        <v>0</v>
      </c>
      <c r="P407" s="4"/>
      <c r="Q407" s="4"/>
      <c r="R407" s="4"/>
      <c r="S407" s="4"/>
      <c r="T407" s="4"/>
      <c r="U407" s="4"/>
      <c r="V407" s="4"/>
      <c r="W407" s="4"/>
    </row>
    <row r="408" spans="1:23" x14ac:dyDescent="0.2">
      <c r="A408" s="4">
        <v>50</v>
      </c>
      <c r="B408" s="4">
        <v>0</v>
      </c>
      <c r="C408" s="4">
        <v>0</v>
      </c>
      <c r="D408" s="4">
        <v>1</v>
      </c>
      <c r="E408" s="4">
        <v>224</v>
      </c>
      <c r="F408" s="4">
        <f>ROUND(Source!AR380,O408)</f>
        <v>19174</v>
      </c>
      <c r="G408" s="4" t="s">
        <v>172</v>
      </c>
      <c r="H408" s="4" t="s">
        <v>173</v>
      </c>
      <c r="I408" s="4"/>
      <c r="J408" s="4"/>
      <c r="K408" s="4">
        <v>224</v>
      </c>
      <c r="L408" s="4">
        <v>27</v>
      </c>
      <c r="M408" s="4">
        <v>3</v>
      </c>
      <c r="N408" s="4" t="s">
        <v>2</v>
      </c>
      <c r="O408" s="4">
        <v>0</v>
      </c>
      <c r="P408" s="4"/>
      <c r="Q408" s="4"/>
      <c r="R408" s="4"/>
      <c r="S408" s="4"/>
      <c r="T408" s="4"/>
      <c r="U408" s="4"/>
      <c r="V408" s="4"/>
      <c r="W408" s="4"/>
    </row>
    <row r="410" spans="1:23" x14ac:dyDescent="0.2">
      <c r="A410" s="5">
        <v>61</v>
      </c>
      <c r="B410" s="5"/>
      <c r="C410" s="5"/>
      <c r="D410" s="5"/>
      <c r="E410" s="5"/>
      <c r="F410" s="5">
        <v>0</v>
      </c>
      <c r="G410" s="5" t="s">
        <v>493</v>
      </c>
      <c r="H410" s="5" t="s">
        <v>494</v>
      </c>
    </row>
    <row r="411" spans="1:23" x14ac:dyDescent="0.2">
      <c r="A411" s="5">
        <v>61</v>
      </c>
      <c r="B411" s="5"/>
      <c r="C411" s="5"/>
      <c r="D411" s="5"/>
      <c r="E411" s="5"/>
      <c r="F411" s="5">
        <v>1</v>
      </c>
      <c r="G411" s="5" t="s">
        <v>495</v>
      </c>
      <c r="H411" s="5" t="s">
        <v>496</v>
      </c>
    </row>
    <row r="412" spans="1:23" x14ac:dyDescent="0.2">
      <c r="A412" s="5">
        <v>61</v>
      </c>
      <c r="B412" s="5"/>
      <c r="C412" s="5"/>
      <c r="D412" s="5"/>
      <c r="E412" s="5"/>
      <c r="F412" s="5">
        <v>444</v>
      </c>
      <c r="G412" s="5" t="s">
        <v>497</v>
      </c>
      <c r="H412" s="5" t="s">
        <v>496</v>
      </c>
    </row>
    <row r="413" spans="1:23" x14ac:dyDescent="0.2">
      <c r="A413" s="5">
        <v>61</v>
      </c>
      <c r="B413" s="5"/>
      <c r="C413" s="5"/>
      <c r="D413" s="5"/>
      <c r="E413" s="5"/>
      <c r="F413" s="5">
        <v>5.25</v>
      </c>
      <c r="G413" s="5" t="s">
        <v>498</v>
      </c>
      <c r="H413" s="5" t="s">
        <v>496</v>
      </c>
    </row>
    <row r="414" spans="1:23" x14ac:dyDescent="0.2">
      <c r="A414" s="5">
        <v>61</v>
      </c>
      <c r="B414" s="5"/>
      <c r="C414" s="5"/>
      <c r="D414" s="5"/>
      <c r="E414" s="5"/>
      <c r="F414" s="5">
        <v>5</v>
      </c>
      <c r="G414" s="5" t="s">
        <v>499</v>
      </c>
      <c r="H414" s="5" t="s">
        <v>496</v>
      </c>
    </row>
    <row r="415" spans="1:23" x14ac:dyDescent="0.2">
      <c r="A415" s="5">
        <v>61</v>
      </c>
      <c r="B415" s="5"/>
      <c r="C415" s="5"/>
      <c r="D415" s="5"/>
      <c r="E415" s="5"/>
      <c r="F415" s="5">
        <v>6</v>
      </c>
      <c r="G415" s="5" t="s">
        <v>500</v>
      </c>
      <c r="H415" s="5" t="s">
        <v>496</v>
      </c>
    </row>
    <row r="416" spans="1:23" x14ac:dyDescent="0.2">
      <c r="A416" s="5">
        <v>61</v>
      </c>
      <c r="B416" s="5"/>
      <c r="C416" s="5"/>
      <c r="D416" s="5"/>
      <c r="E416" s="5"/>
      <c r="F416" s="5">
        <v>4</v>
      </c>
      <c r="G416" s="5" t="s">
        <v>501</v>
      </c>
      <c r="H416" s="5" t="s">
        <v>496</v>
      </c>
    </row>
    <row r="417" spans="1:8" x14ac:dyDescent="0.2">
      <c r="A417" s="5">
        <v>61</v>
      </c>
      <c r="B417" s="5"/>
      <c r="C417" s="5"/>
      <c r="D417" s="5"/>
      <c r="E417" s="5"/>
      <c r="F417" s="5">
        <v>5.0999999999999996</v>
      </c>
      <c r="G417" s="5" t="s">
        <v>192</v>
      </c>
      <c r="H417" s="5" t="s">
        <v>496</v>
      </c>
    </row>
    <row r="418" spans="1:8" x14ac:dyDescent="0.2">
      <c r="A418" s="5">
        <v>61</v>
      </c>
      <c r="B418" s="5"/>
      <c r="C418" s="5"/>
      <c r="D418" s="5"/>
      <c r="E418" s="5"/>
      <c r="F418" s="5">
        <v>4</v>
      </c>
      <c r="G418" s="5" t="s">
        <v>502</v>
      </c>
      <c r="H418" s="5" t="s">
        <v>496</v>
      </c>
    </row>
    <row r="419" spans="1:8" x14ac:dyDescent="0.2">
      <c r="A419" s="5">
        <v>61</v>
      </c>
      <c r="B419" s="5"/>
      <c r="C419" s="5"/>
      <c r="D419" s="5"/>
      <c r="E419" s="5"/>
      <c r="F419" s="5">
        <v>1</v>
      </c>
      <c r="G419" s="5" t="s">
        <v>503</v>
      </c>
      <c r="H419" s="5" t="s">
        <v>496</v>
      </c>
    </row>
    <row r="420" spans="1:8" x14ac:dyDescent="0.2">
      <c r="A420" s="5">
        <v>61</v>
      </c>
      <c r="B420" s="5"/>
      <c r="C420" s="5"/>
      <c r="D420" s="5"/>
      <c r="E420" s="5"/>
      <c r="F420" s="5">
        <v>3</v>
      </c>
      <c r="G420" s="5" t="s">
        <v>504</v>
      </c>
      <c r="H420" s="5" t="s">
        <v>496</v>
      </c>
    </row>
    <row r="421" spans="1:8" x14ac:dyDescent="0.2">
      <c r="A421" s="5">
        <v>61</v>
      </c>
      <c r="B421" s="5"/>
      <c r="C421" s="5"/>
      <c r="D421" s="5"/>
      <c r="E421" s="5"/>
      <c r="F421" s="5">
        <v>2</v>
      </c>
      <c r="G421" s="5" t="s">
        <v>505</v>
      </c>
      <c r="H421" s="5" t="s">
        <v>506</v>
      </c>
    </row>
    <row r="422" spans="1:8" x14ac:dyDescent="0.2">
      <c r="A422" s="5">
        <v>61</v>
      </c>
      <c r="B422" s="5"/>
      <c r="C422" s="5"/>
      <c r="D422" s="5"/>
      <c r="E422" s="5"/>
      <c r="F422" s="5">
        <v>10</v>
      </c>
      <c r="G422" s="5" t="s">
        <v>507</v>
      </c>
      <c r="H422" s="5" t="s">
        <v>508</v>
      </c>
    </row>
    <row r="423" spans="1:8" x14ac:dyDescent="0.2">
      <c r="A423" s="5">
        <v>61</v>
      </c>
      <c r="B423" s="5"/>
      <c r="C423" s="5"/>
      <c r="D423" s="5"/>
      <c r="E423" s="5"/>
      <c r="F423" s="5">
        <v>20</v>
      </c>
      <c r="G423" s="5" t="s">
        <v>509</v>
      </c>
      <c r="H423" s="5" t="s">
        <v>510</v>
      </c>
    </row>
    <row r="424" spans="1:8" x14ac:dyDescent="0.2">
      <c r="A424" s="5">
        <v>61</v>
      </c>
      <c r="B424" s="5"/>
      <c r="C424" s="5"/>
      <c r="D424" s="5"/>
      <c r="E424" s="5"/>
      <c r="F424" s="5">
        <v>30</v>
      </c>
      <c r="G424" s="5" t="s">
        <v>511</v>
      </c>
      <c r="H424" s="5" t="s">
        <v>512</v>
      </c>
    </row>
    <row r="425" spans="1:8" x14ac:dyDescent="0.2">
      <c r="A425" s="5">
        <v>61</v>
      </c>
      <c r="B425" s="5"/>
      <c r="C425" s="5"/>
      <c r="D425" s="5"/>
      <c r="E425" s="5"/>
      <c r="F425" s="5">
        <v>1</v>
      </c>
      <c r="G425" s="5" t="s">
        <v>513</v>
      </c>
      <c r="H425" s="5" t="s">
        <v>496</v>
      </c>
    </row>
    <row r="426" spans="1:8" x14ac:dyDescent="0.2">
      <c r="A426" s="5">
        <v>61</v>
      </c>
      <c r="B426" s="5"/>
      <c r="C426" s="5"/>
      <c r="D426" s="5"/>
      <c r="E426" s="5"/>
      <c r="F426" s="5">
        <v>3</v>
      </c>
      <c r="G426" s="5" t="s">
        <v>514</v>
      </c>
      <c r="H426" s="5" t="s">
        <v>515</v>
      </c>
    </row>
    <row r="427" spans="1:8" x14ac:dyDescent="0.2">
      <c r="A427" s="5">
        <v>61</v>
      </c>
      <c r="B427" s="5"/>
      <c r="C427" s="5"/>
      <c r="D427" s="5"/>
      <c r="E427" s="5"/>
      <c r="F427" s="5">
        <v>12</v>
      </c>
      <c r="G427" s="5" t="s">
        <v>516</v>
      </c>
      <c r="H427" s="5" t="s">
        <v>496</v>
      </c>
    </row>
    <row r="428" spans="1:8" x14ac:dyDescent="0.2">
      <c r="A428" s="5">
        <v>61</v>
      </c>
      <c r="B428" s="5"/>
      <c r="C428" s="5"/>
      <c r="D428" s="5"/>
      <c r="E428" s="5"/>
      <c r="F428" s="5">
        <v>1</v>
      </c>
      <c r="G428" s="5" t="s">
        <v>517</v>
      </c>
      <c r="H428" s="5" t="s">
        <v>518</v>
      </c>
    </row>
    <row r="429" spans="1:8" x14ac:dyDescent="0.2">
      <c r="A429" s="5">
        <v>61</v>
      </c>
      <c r="B429" s="5"/>
      <c r="C429" s="5"/>
      <c r="D429" s="5"/>
      <c r="E429" s="5"/>
      <c r="F429" s="5">
        <v>0</v>
      </c>
      <c r="G429" s="5" t="s">
        <v>519</v>
      </c>
      <c r="H429" s="5" t="s">
        <v>496</v>
      </c>
    </row>
    <row r="430" spans="1:8" x14ac:dyDescent="0.2">
      <c r="A430" s="5">
        <v>61</v>
      </c>
      <c r="B430" s="5"/>
      <c r="C430" s="5"/>
      <c r="D430" s="5"/>
      <c r="E430" s="5"/>
      <c r="F430" s="5">
        <v>10</v>
      </c>
      <c r="G430" s="5" t="s">
        <v>520</v>
      </c>
      <c r="H430" s="5" t="s">
        <v>521</v>
      </c>
    </row>
    <row r="431" spans="1:8" x14ac:dyDescent="0.2">
      <c r="A431" s="5">
        <v>61</v>
      </c>
      <c r="B431" s="5"/>
      <c r="C431" s="5"/>
      <c r="D431" s="5"/>
      <c r="E431" s="5"/>
      <c r="F431" s="5">
        <v>77</v>
      </c>
      <c r="G431" s="5" t="s">
        <v>522</v>
      </c>
      <c r="H431" s="5" t="s">
        <v>496</v>
      </c>
    </row>
    <row r="432" spans="1:8" x14ac:dyDescent="0.2">
      <c r="A432" s="5">
        <v>61</v>
      </c>
      <c r="B432" s="5"/>
      <c r="C432" s="5"/>
      <c r="D432" s="5"/>
      <c r="E432" s="5"/>
      <c r="F432" s="5">
        <v>4</v>
      </c>
      <c r="G432" s="5" t="s">
        <v>523</v>
      </c>
      <c r="H432" s="5" t="s">
        <v>496</v>
      </c>
    </row>
    <row r="433" spans="1:8" x14ac:dyDescent="0.2">
      <c r="A433" s="5">
        <v>61</v>
      </c>
      <c r="B433" s="5"/>
      <c r="C433" s="5"/>
      <c r="D433" s="5"/>
      <c r="E433" s="5"/>
      <c r="F433" s="5">
        <v>50</v>
      </c>
      <c r="G433" s="5" t="s">
        <v>524</v>
      </c>
      <c r="H433" s="5" t="s">
        <v>525</v>
      </c>
    </row>
    <row r="434" spans="1:8" x14ac:dyDescent="0.2">
      <c r="A434" s="5">
        <v>61</v>
      </c>
      <c r="B434" s="5"/>
      <c r="C434" s="5"/>
      <c r="D434" s="5"/>
      <c r="E434" s="5"/>
      <c r="F434" s="5">
        <v>3.7</v>
      </c>
      <c r="G434" s="5" t="s">
        <v>526</v>
      </c>
      <c r="H434" s="5" t="s">
        <v>527</v>
      </c>
    </row>
    <row r="435" spans="1:8" x14ac:dyDescent="0.2">
      <c r="A435" s="5">
        <v>61</v>
      </c>
      <c r="B435" s="5"/>
      <c r="C435" s="5"/>
      <c r="D435" s="5"/>
      <c r="E435" s="5"/>
      <c r="F435" s="5">
        <v>40</v>
      </c>
      <c r="G435" s="5" t="s">
        <v>528</v>
      </c>
      <c r="H435" s="5" t="s">
        <v>525</v>
      </c>
    </row>
    <row r="436" spans="1:8" x14ac:dyDescent="0.2">
      <c r="A436" s="5">
        <v>61</v>
      </c>
      <c r="B436" s="5"/>
      <c r="C436" s="5"/>
      <c r="D436" s="5"/>
      <c r="E436" s="5"/>
      <c r="F436" s="5">
        <v>0</v>
      </c>
      <c r="G436" s="5" t="s">
        <v>529</v>
      </c>
      <c r="H436" s="5" t="s">
        <v>530</v>
      </c>
    </row>
    <row r="437" spans="1:8" x14ac:dyDescent="0.2">
      <c r="A437" s="5">
        <v>61</v>
      </c>
      <c r="B437" s="5"/>
      <c r="C437" s="5"/>
      <c r="D437" s="5"/>
      <c r="E437" s="5"/>
      <c r="F437" s="5">
        <v>0</v>
      </c>
      <c r="G437" s="5" t="s">
        <v>531</v>
      </c>
      <c r="H437" s="5" t="s">
        <v>532</v>
      </c>
    </row>
    <row r="438" spans="1:8" x14ac:dyDescent="0.2">
      <c r="A438" s="5">
        <v>61</v>
      </c>
      <c r="B438" s="5"/>
      <c r="C438" s="5"/>
      <c r="D438" s="5"/>
      <c r="E438" s="5"/>
      <c r="F438" s="5">
        <v>1</v>
      </c>
      <c r="G438" s="5" t="s">
        <v>533</v>
      </c>
      <c r="H438" s="5" t="s">
        <v>496</v>
      </c>
    </row>
    <row r="439" spans="1:8" x14ac:dyDescent="0.2">
      <c r="A439" s="5">
        <v>61</v>
      </c>
      <c r="B439" s="5"/>
      <c r="C439" s="5"/>
      <c r="D439" s="5"/>
      <c r="E439" s="5"/>
      <c r="F439" s="5">
        <v>2</v>
      </c>
      <c r="G439" s="5" t="s">
        <v>534</v>
      </c>
      <c r="H439" s="5" t="s">
        <v>535</v>
      </c>
    </row>
    <row r="440" spans="1:8" x14ac:dyDescent="0.2">
      <c r="A440" s="5">
        <v>61</v>
      </c>
      <c r="B440" s="5"/>
      <c r="C440" s="5"/>
      <c r="D440" s="5"/>
      <c r="E440" s="5"/>
      <c r="F440" s="5">
        <v>3</v>
      </c>
      <c r="G440" s="5" t="s">
        <v>536</v>
      </c>
      <c r="H440" s="5" t="s">
        <v>496</v>
      </c>
    </row>
    <row r="441" spans="1:8" x14ac:dyDescent="0.2">
      <c r="A441" s="5">
        <v>61</v>
      </c>
      <c r="B441" s="5"/>
      <c r="C441" s="5"/>
      <c r="D441" s="5"/>
      <c r="E441" s="5"/>
      <c r="F441" s="5">
        <v>4</v>
      </c>
      <c r="G441" s="5" t="s">
        <v>537</v>
      </c>
      <c r="H441" s="5" t="s">
        <v>496</v>
      </c>
    </row>
    <row r="442" spans="1:8" x14ac:dyDescent="0.2">
      <c r="A442" s="5">
        <v>61</v>
      </c>
      <c r="B442" s="5"/>
      <c r="C442" s="5"/>
      <c r="D442" s="5"/>
      <c r="E442" s="5"/>
      <c r="F442" s="5">
        <v>0</v>
      </c>
      <c r="G442" s="5" t="s">
        <v>538</v>
      </c>
      <c r="H442" s="5" t="s">
        <v>496</v>
      </c>
    </row>
    <row r="443" spans="1:8" x14ac:dyDescent="0.2">
      <c r="A443" s="5">
        <v>61</v>
      </c>
      <c r="B443" s="5"/>
      <c r="C443" s="5"/>
      <c r="D443" s="5"/>
      <c r="E443" s="5"/>
      <c r="F443" s="5">
        <v>21</v>
      </c>
      <c r="G443" s="5" t="s">
        <v>539</v>
      </c>
      <c r="H443" s="5" t="s">
        <v>496</v>
      </c>
    </row>
    <row r="444" spans="1:8" x14ac:dyDescent="0.2">
      <c r="A444" s="5">
        <v>61</v>
      </c>
      <c r="B444" s="5"/>
      <c r="C444" s="5"/>
      <c r="D444" s="5"/>
      <c r="E444" s="5"/>
      <c r="F444" s="5">
        <v>8</v>
      </c>
      <c r="G444" s="5" t="s">
        <v>540</v>
      </c>
      <c r="H444" s="5" t="s">
        <v>496</v>
      </c>
    </row>
    <row r="445" spans="1:8" x14ac:dyDescent="0.2">
      <c r="A445" s="5">
        <v>61</v>
      </c>
      <c r="B445" s="5"/>
      <c r="C445" s="5"/>
      <c r="D445" s="5"/>
      <c r="E445" s="5"/>
      <c r="F445" s="5">
        <v>1</v>
      </c>
      <c r="G445" s="5" t="s">
        <v>541</v>
      </c>
      <c r="H445" s="5" t="s">
        <v>496</v>
      </c>
    </row>
    <row r="446" spans="1:8" x14ac:dyDescent="0.2">
      <c r="A446" s="5">
        <v>61</v>
      </c>
      <c r="B446" s="5"/>
      <c r="C446" s="5"/>
      <c r="D446" s="5"/>
      <c r="E446" s="5"/>
      <c r="F446" s="5">
        <v>12</v>
      </c>
      <c r="G446" s="5" t="s">
        <v>542</v>
      </c>
      <c r="H446" s="5" t="s">
        <v>496</v>
      </c>
    </row>
    <row r="447" spans="1:8" x14ac:dyDescent="0.2">
      <c r="A447" s="5">
        <v>61</v>
      </c>
      <c r="B447" s="5"/>
      <c r="C447" s="5"/>
      <c r="D447" s="5"/>
      <c r="E447" s="5"/>
      <c r="F447" s="5">
        <v>11</v>
      </c>
      <c r="G447" s="5" t="s">
        <v>543</v>
      </c>
      <c r="H447" s="5" t="s">
        <v>496</v>
      </c>
    </row>
    <row r="448" spans="1:8" x14ac:dyDescent="0.2">
      <c r="A448" s="5">
        <v>61</v>
      </c>
      <c r="B448" s="5"/>
      <c r="C448" s="5"/>
      <c r="D448" s="5"/>
      <c r="E448" s="5"/>
      <c r="F448" s="5">
        <v>13</v>
      </c>
      <c r="G448" s="5" t="s">
        <v>544</v>
      </c>
      <c r="H448" s="5" t="s">
        <v>496</v>
      </c>
    </row>
    <row r="449" spans="1:14" x14ac:dyDescent="0.2">
      <c r="A449" s="5">
        <v>61</v>
      </c>
      <c r="B449" s="5"/>
      <c r="C449" s="5"/>
      <c r="D449" s="5"/>
      <c r="E449" s="5"/>
      <c r="F449" s="5">
        <v>3</v>
      </c>
      <c r="G449" s="5" t="s">
        <v>545</v>
      </c>
      <c r="H449" s="5" t="s">
        <v>496</v>
      </c>
    </row>
    <row r="450" spans="1:14" x14ac:dyDescent="0.2">
      <c r="A450" s="5">
        <v>61</v>
      </c>
      <c r="B450" s="5"/>
      <c r="C450" s="5"/>
      <c r="D450" s="5"/>
      <c r="E450" s="5"/>
      <c r="F450" s="5">
        <v>7</v>
      </c>
      <c r="G450" s="5" t="s">
        <v>546</v>
      </c>
      <c r="H450" s="5" t="s">
        <v>496</v>
      </c>
    </row>
    <row r="451" spans="1:14" x14ac:dyDescent="0.2">
      <c r="A451" s="5">
        <v>61</v>
      </c>
      <c r="B451" s="5"/>
      <c r="C451" s="5"/>
      <c r="D451" s="5"/>
      <c r="E451" s="5"/>
      <c r="F451" s="5">
        <v>0</v>
      </c>
      <c r="G451" s="5" t="s">
        <v>547</v>
      </c>
      <c r="H451" s="5" t="s">
        <v>496</v>
      </c>
    </row>
    <row r="452" spans="1:14" x14ac:dyDescent="0.2">
      <c r="A452" s="5">
        <v>61</v>
      </c>
      <c r="B452" s="5"/>
      <c r="C452" s="5"/>
      <c r="D452" s="5"/>
      <c r="E452" s="5"/>
      <c r="F452" s="5">
        <v>8</v>
      </c>
      <c r="G452" s="5" t="s">
        <v>548</v>
      </c>
      <c r="H452" s="5" t="s">
        <v>496</v>
      </c>
    </row>
    <row r="453" spans="1:14" x14ac:dyDescent="0.2">
      <c r="A453" s="5">
        <v>61</v>
      </c>
      <c r="B453" s="5"/>
      <c r="C453" s="5"/>
      <c r="D453" s="5"/>
      <c r="E453" s="5"/>
      <c r="F453" s="5">
        <v>5</v>
      </c>
      <c r="G453" s="5" t="s">
        <v>549</v>
      </c>
      <c r="H453" s="5" t="s">
        <v>550</v>
      </c>
    </row>
    <row r="454" spans="1:14" x14ac:dyDescent="0.2">
      <c r="A454" s="5">
        <v>61</v>
      </c>
      <c r="B454" s="5"/>
      <c r="C454" s="5"/>
      <c r="D454" s="5"/>
      <c r="E454" s="5"/>
      <c r="F454" s="5">
        <v>0</v>
      </c>
      <c r="G454" s="5" t="s">
        <v>551</v>
      </c>
      <c r="H454" s="5" t="s">
        <v>552</v>
      </c>
    </row>
    <row r="455" spans="1:14" x14ac:dyDescent="0.2">
      <c r="A455" s="5">
        <v>61</v>
      </c>
      <c r="B455" s="5"/>
      <c r="C455" s="5"/>
      <c r="D455" s="5"/>
      <c r="E455" s="5"/>
      <c r="F455" s="5">
        <v>3</v>
      </c>
      <c r="G455" s="5" t="s">
        <v>553</v>
      </c>
      <c r="H455" s="5" t="s">
        <v>496</v>
      </c>
    </row>
    <row r="458" spans="1:14" x14ac:dyDescent="0.2">
      <c r="A458">
        <v>70</v>
      </c>
      <c r="B458">
        <v>1</v>
      </c>
      <c r="D458">
        <v>1</v>
      </c>
      <c r="E458" t="s">
        <v>554</v>
      </c>
      <c r="F458" t="s">
        <v>555</v>
      </c>
      <c r="G458">
        <v>0</v>
      </c>
      <c r="H458">
        <v>0</v>
      </c>
      <c r="I458" t="s">
        <v>2</v>
      </c>
      <c r="J458">
        <v>1</v>
      </c>
      <c r="K458">
        <v>0</v>
      </c>
      <c r="L458" t="s">
        <v>2</v>
      </c>
      <c r="M458" t="s">
        <v>2</v>
      </c>
      <c r="N458">
        <v>0</v>
      </c>
    </row>
    <row r="459" spans="1:14" x14ac:dyDescent="0.2">
      <c r="A459">
        <v>70</v>
      </c>
      <c r="B459">
        <v>1</v>
      </c>
      <c r="D459">
        <v>2</v>
      </c>
      <c r="E459" t="s">
        <v>556</v>
      </c>
      <c r="F459" t="s">
        <v>557</v>
      </c>
      <c r="G459">
        <v>1</v>
      </c>
      <c r="H459">
        <v>0</v>
      </c>
      <c r="I459" t="s">
        <v>2</v>
      </c>
      <c r="J459">
        <v>1</v>
      </c>
      <c r="K459">
        <v>0</v>
      </c>
      <c r="L459" t="s">
        <v>2</v>
      </c>
      <c r="M459" t="s">
        <v>2</v>
      </c>
      <c r="N459">
        <v>0</v>
      </c>
    </row>
    <row r="460" spans="1:14" x14ac:dyDescent="0.2">
      <c r="A460">
        <v>70</v>
      </c>
      <c r="B460">
        <v>1</v>
      </c>
      <c r="D460">
        <v>3</v>
      </c>
      <c r="E460" t="s">
        <v>558</v>
      </c>
      <c r="F460" t="s">
        <v>559</v>
      </c>
      <c r="G460">
        <v>0</v>
      </c>
      <c r="H460">
        <v>0</v>
      </c>
      <c r="I460" t="s">
        <v>2</v>
      </c>
      <c r="J460">
        <v>1</v>
      </c>
      <c r="K460">
        <v>0</v>
      </c>
      <c r="L460" t="s">
        <v>2</v>
      </c>
      <c r="M460" t="s">
        <v>2</v>
      </c>
      <c r="N460">
        <v>0</v>
      </c>
    </row>
    <row r="461" spans="1:14" x14ac:dyDescent="0.2">
      <c r="A461">
        <v>70</v>
      </c>
      <c r="B461">
        <v>1</v>
      </c>
      <c r="D461">
        <v>4</v>
      </c>
      <c r="E461" t="s">
        <v>560</v>
      </c>
      <c r="F461" t="s">
        <v>561</v>
      </c>
      <c r="G461">
        <v>0</v>
      </c>
      <c r="H461">
        <v>0</v>
      </c>
      <c r="I461" t="s">
        <v>2</v>
      </c>
      <c r="J461">
        <v>2</v>
      </c>
      <c r="K461">
        <v>0</v>
      </c>
      <c r="L461" t="s">
        <v>2</v>
      </c>
      <c r="M461" t="s">
        <v>2</v>
      </c>
      <c r="N461">
        <v>0</v>
      </c>
    </row>
    <row r="462" spans="1:14" x14ac:dyDescent="0.2">
      <c r="A462">
        <v>70</v>
      </c>
      <c r="B462">
        <v>1</v>
      </c>
      <c r="D462">
        <v>5</v>
      </c>
      <c r="E462" t="s">
        <v>562</v>
      </c>
      <c r="F462" t="s">
        <v>563</v>
      </c>
      <c r="G462">
        <v>1</v>
      </c>
      <c r="H462">
        <v>0</v>
      </c>
      <c r="I462" t="s">
        <v>2</v>
      </c>
      <c r="J462">
        <v>2</v>
      </c>
      <c r="K462">
        <v>0</v>
      </c>
      <c r="L462" t="s">
        <v>2</v>
      </c>
      <c r="M462" t="s">
        <v>2</v>
      </c>
      <c r="N462">
        <v>0</v>
      </c>
    </row>
    <row r="463" spans="1:14" x14ac:dyDescent="0.2">
      <c r="A463">
        <v>70</v>
      </c>
      <c r="B463">
        <v>1</v>
      </c>
      <c r="D463">
        <v>6</v>
      </c>
      <c r="E463" t="s">
        <v>564</v>
      </c>
      <c r="F463" t="s">
        <v>565</v>
      </c>
      <c r="G463">
        <v>0</v>
      </c>
      <c r="H463">
        <v>0</v>
      </c>
      <c r="I463" t="s">
        <v>2</v>
      </c>
      <c r="J463">
        <v>2</v>
      </c>
      <c r="K463">
        <v>0</v>
      </c>
      <c r="L463" t="s">
        <v>2</v>
      </c>
      <c r="M463" t="s">
        <v>2</v>
      </c>
      <c r="N463">
        <v>0</v>
      </c>
    </row>
    <row r="464" spans="1:14" x14ac:dyDescent="0.2">
      <c r="A464">
        <v>70</v>
      </c>
      <c r="B464">
        <v>1</v>
      </c>
      <c r="D464">
        <v>7</v>
      </c>
      <c r="E464" t="s">
        <v>566</v>
      </c>
      <c r="F464" t="s">
        <v>567</v>
      </c>
      <c r="G464">
        <v>0</v>
      </c>
      <c r="H464">
        <v>0</v>
      </c>
      <c r="I464" t="s">
        <v>568</v>
      </c>
      <c r="J464">
        <v>0</v>
      </c>
      <c r="K464">
        <v>0</v>
      </c>
      <c r="L464" t="s">
        <v>2</v>
      </c>
      <c r="M464" t="s">
        <v>2</v>
      </c>
      <c r="N464">
        <v>0</v>
      </c>
    </row>
    <row r="465" spans="1:15" x14ac:dyDescent="0.2">
      <c r="A465">
        <v>70</v>
      </c>
      <c r="B465">
        <v>1</v>
      </c>
      <c r="D465">
        <v>8</v>
      </c>
      <c r="E465" t="s">
        <v>569</v>
      </c>
      <c r="F465" t="s">
        <v>570</v>
      </c>
      <c r="G465">
        <v>0</v>
      </c>
      <c r="H465">
        <v>0</v>
      </c>
      <c r="I465" t="s">
        <v>571</v>
      </c>
      <c r="J465">
        <v>0</v>
      </c>
      <c r="K465">
        <v>0</v>
      </c>
      <c r="L465" t="s">
        <v>2</v>
      </c>
      <c r="M465" t="s">
        <v>2</v>
      </c>
      <c r="N465">
        <v>0</v>
      </c>
    </row>
    <row r="466" spans="1:15" x14ac:dyDescent="0.2">
      <c r="A466">
        <v>70</v>
      </c>
      <c r="B466">
        <v>1</v>
      </c>
      <c r="D466">
        <v>9</v>
      </c>
      <c r="E466" t="s">
        <v>572</v>
      </c>
      <c r="F466" t="s">
        <v>573</v>
      </c>
      <c r="G466">
        <v>0</v>
      </c>
      <c r="H466">
        <v>0</v>
      </c>
      <c r="I466" t="s">
        <v>574</v>
      </c>
      <c r="J466">
        <v>0</v>
      </c>
      <c r="K466">
        <v>0</v>
      </c>
      <c r="L466" t="s">
        <v>2</v>
      </c>
      <c r="M466" t="s">
        <v>2</v>
      </c>
      <c r="N466">
        <v>0</v>
      </c>
    </row>
    <row r="467" spans="1:15" x14ac:dyDescent="0.2">
      <c r="A467">
        <v>70</v>
      </c>
      <c r="B467">
        <v>1</v>
      </c>
      <c r="D467">
        <v>10</v>
      </c>
      <c r="E467" t="s">
        <v>575</v>
      </c>
      <c r="F467" t="s">
        <v>576</v>
      </c>
      <c r="G467">
        <v>0</v>
      </c>
      <c r="H467">
        <v>0</v>
      </c>
      <c r="I467" t="s">
        <v>577</v>
      </c>
      <c r="J467">
        <v>0</v>
      </c>
      <c r="K467">
        <v>0</v>
      </c>
      <c r="L467" t="s">
        <v>2</v>
      </c>
      <c r="M467" t="s">
        <v>2</v>
      </c>
      <c r="N467">
        <v>0</v>
      </c>
    </row>
    <row r="468" spans="1:15" x14ac:dyDescent="0.2">
      <c r="A468">
        <v>70</v>
      </c>
      <c r="B468">
        <v>1</v>
      </c>
      <c r="D468">
        <v>11</v>
      </c>
      <c r="E468" t="s">
        <v>578</v>
      </c>
      <c r="F468" t="s">
        <v>579</v>
      </c>
      <c r="G468">
        <v>0</v>
      </c>
      <c r="H468">
        <v>0</v>
      </c>
      <c r="I468" t="s">
        <v>580</v>
      </c>
      <c r="J468">
        <v>0</v>
      </c>
      <c r="K468">
        <v>0</v>
      </c>
      <c r="L468" t="s">
        <v>2</v>
      </c>
      <c r="M468" t="s">
        <v>2</v>
      </c>
      <c r="N468">
        <v>0</v>
      </c>
    </row>
    <row r="469" spans="1:15" x14ac:dyDescent="0.2">
      <c r="A469">
        <v>70</v>
      </c>
      <c r="B469">
        <v>1</v>
      </c>
      <c r="D469">
        <v>12</v>
      </c>
      <c r="E469" t="s">
        <v>581</v>
      </c>
      <c r="F469" t="s">
        <v>582</v>
      </c>
      <c r="G469">
        <v>0</v>
      </c>
      <c r="H469">
        <v>0</v>
      </c>
      <c r="I469" t="s">
        <v>2</v>
      </c>
      <c r="J469">
        <v>0</v>
      </c>
      <c r="K469">
        <v>0</v>
      </c>
      <c r="L469" t="s">
        <v>2</v>
      </c>
      <c r="M469" t="s">
        <v>2</v>
      </c>
      <c r="N469">
        <v>0</v>
      </c>
    </row>
    <row r="470" spans="1:15" x14ac:dyDescent="0.2">
      <c r="A470">
        <v>70</v>
      </c>
      <c r="B470">
        <v>1</v>
      </c>
      <c r="D470">
        <v>1</v>
      </c>
      <c r="E470" t="s">
        <v>583</v>
      </c>
      <c r="F470" t="s">
        <v>584</v>
      </c>
      <c r="G470">
        <v>0.9</v>
      </c>
      <c r="H470">
        <v>1</v>
      </c>
      <c r="I470" t="s">
        <v>585</v>
      </c>
      <c r="J470">
        <v>0</v>
      </c>
      <c r="K470">
        <v>0</v>
      </c>
      <c r="L470" t="s">
        <v>2</v>
      </c>
      <c r="M470" t="s">
        <v>2</v>
      </c>
      <c r="N470">
        <v>0</v>
      </c>
    </row>
    <row r="471" spans="1:15" x14ac:dyDescent="0.2">
      <c r="A471">
        <v>70</v>
      </c>
      <c r="B471">
        <v>1</v>
      </c>
      <c r="D471">
        <v>2</v>
      </c>
      <c r="E471" t="s">
        <v>586</v>
      </c>
      <c r="F471" t="s">
        <v>587</v>
      </c>
      <c r="G471">
        <v>0.85</v>
      </c>
      <c r="H471">
        <v>1</v>
      </c>
      <c r="I471" t="s">
        <v>588</v>
      </c>
      <c r="J471">
        <v>0</v>
      </c>
      <c r="K471">
        <v>0</v>
      </c>
      <c r="L471" t="s">
        <v>2</v>
      </c>
      <c r="M471" t="s">
        <v>2</v>
      </c>
      <c r="N471">
        <v>0</v>
      </c>
    </row>
    <row r="472" spans="1:15" x14ac:dyDescent="0.2">
      <c r="A472">
        <v>70</v>
      </c>
      <c r="B472">
        <v>1</v>
      </c>
      <c r="D472">
        <v>3</v>
      </c>
      <c r="E472" t="s">
        <v>589</v>
      </c>
      <c r="F472" t="s">
        <v>590</v>
      </c>
      <c r="G472">
        <v>1.03</v>
      </c>
      <c r="H472">
        <v>0</v>
      </c>
      <c r="I472" t="s">
        <v>2</v>
      </c>
      <c r="J472">
        <v>0</v>
      </c>
      <c r="K472">
        <v>0</v>
      </c>
      <c r="L472" t="s">
        <v>2</v>
      </c>
      <c r="M472" t="s">
        <v>2</v>
      </c>
      <c r="N472">
        <v>0</v>
      </c>
    </row>
    <row r="473" spans="1:15" x14ac:dyDescent="0.2">
      <c r="A473">
        <v>70</v>
      </c>
      <c r="B473">
        <v>1</v>
      </c>
      <c r="D473">
        <v>4</v>
      </c>
      <c r="E473" t="s">
        <v>591</v>
      </c>
      <c r="F473" t="s">
        <v>592</v>
      </c>
      <c r="G473">
        <v>1.0900000000000001</v>
      </c>
      <c r="H473">
        <v>0</v>
      </c>
      <c r="I473" t="s">
        <v>2</v>
      </c>
      <c r="J473">
        <v>0</v>
      </c>
      <c r="K473">
        <v>0</v>
      </c>
      <c r="L473" t="s">
        <v>2</v>
      </c>
      <c r="M473" t="s">
        <v>2</v>
      </c>
      <c r="N473">
        <v>0</v>
      </c>
    </row>
    <row r="474" spans="1:15" x14ac:dyDescent="0.2">
      <c r="A474">
        <v>70</v>
      </c>
      <c r="B474">
        <v>1</v>
      </c>
      <c r="D474">
        <v>5</v>
      </c>
      <c r="E474" t="s">
        <v>593</v>
      </c>
      <c r="F474" t="s">
        <v>594</v>
      </c>
      <c r="G474">
        <v>7</v>
      </c>
      <c r="H474">
        <v>0</v>
      </c>
      <c r="I474" t="s">
        <v>2</v>
      </c>
      <c r="J474">
        <v>0</v>
      </c>
      <c r="K474">
        <v>0</v>
      </c>
      <c r="L474" t="s">
        <v>2</v>
      </c>
      <c r="M474" t="s">
        <v>2</v>
      </c>
      <c r="N474">
        <v>0</v>
      </c>
    </row>
    <row r="475" spans="1:15" x14ac:dyDescent="0.2">
      <c r="A475">
        <v>70</v>
      </c>
      <c r="B475">
        <v>1</v>
      </c>
      <c r="D475">
        <v>6</v>
      </c>
      <c r="E475" t="s">
        <v>595</v>
      </c>
      <c r="F475" t="s">
        <v>2</v>
      </c>
      <c r="G475">
        <v>2</v>
      </c>
      <c r="H475">
        <v>0</v>
      </c>
      <c r="I475" t="s">
        <v>2</v>
      </c>
      <c r="J475">
        <v>0</v>
      </c>
      <c r="K475">
        <v>0</v>
      </c>
      <c r="L475" t="s">
        <v>2</v>
      </c>
      <c r="M475" t="s">
        <v>2</v>
      </c>
      <c r="N475">
        <v>0</v>
      </c>
    </row>
    <row r="477" spans="1:15" x14ac:dyDescent="0.2">
      <c r="A477">
        <v>-1</v>
      </c>
    </row>
    <row r="479" spans="1:15" x14ac:dyDescent="0.2">
      <c r="A479" s="3">
        <v>75</v>
      </c>
      <c r="B479" s="3" t="s">
        <v>596</v>
      </c>
      <c r="C479" s="3">
        <v>2000</v>
      </c>
      <c r="D479" s="3">
        <v>0</v>
      </c>
      <c r="E479" s="3">
        <v>1</v>
      </c>
      <c r="F479" s="3">
        <v>0</v>
      </c>
      <c r="G479" s="3">
        <v>0</v>
      </c>
      <c r="H479" s="3">
        <v>1</v>
      </c>
      <c r="I479" s="3">
        <v>0</v>
      </c>
      <c r="J479" s="3">
        <v>3</v>
      </c>
      <c r="K479" s="3">
        <v>0</v>
      </c>
      <c r="L479" s="3">
        <v>0</v>
      </c>
      <c r="M479" s="3">
        <v>0</v>
      </c>
      <c r="N479" s="3">
        <v>224527337</v>
      </c>
      <c r="O479" s="3">
        <v>1</v>
      </c>
    </row>
    <row r="483" spans="1:5" x14ac:dyDescent="0.2">
      <c r="A483">
        <v>65</v>
      </c>
      <c r="C483">
        <v>1</v>
      </c>
      <c r="D483">
        <v>0</v>
      </c>
      <c r="E483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51"/>
  <sheetViews>
    <sheetView workbookViewId="0">
      <selection activeCell="G13" sqref="G13"/>
    </sheetView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597</v>
      </c>
      <c r="F1">
        <v>0</v>
      </c>
      <c r="G1">
        <v>3</v>
      </c>
      <c r="H1">
        <v>0</v>
      </c>
      <c r="I1" t="s">
        <v>0</v>
      </c>
      <c r="J1" t="s">
        <v>2</v>
      </c>
      <c r="K1">
        <v>0</v>
      </c>
      <c r="L1">
        <v>34575</v>
      </c>
      <c r="M1">
        <v>39449400</v>
      </c>
      <c r="N1">
        <v>11</v>
      </c>
      <c r="O1">
        <v>1</v>
      </c>
      <c r="P1">
        <v>0</v>
      </c>
      <c r="Q1">
        <v>7</v>
      </c>
    </row>
    <row r="12" spans="1:133" x14ac:dyDescent="0.2">
      <c r="A12" s="1">
        <v>1</v>
      </c>
      <c r="B12" s="1">
        <v>51</v>
      </c>
      <c r="C12" s="1">
        <v>0</v>
      </c>
      <c r="D12" s="1"/>
      <c r="E12" s="1">
        <v>0</v>
      </c>
      <c r="F12" s="1" t="s">
        <v>3</v>
      </c>
      <c r="G12" s="1" t="s">
        <v>4</v>
      </c>
      <c r="H12" s="1" t="s">
        <v>2</v>
      </c>
      <c r="I12" s="1">
        <v>0</v>
      </c>
      <c r="J12" s="1" t="s">
        <v>2</v>
      </c>
      <c r="K12" s="1">
        <v>1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2</v>
      </c>
      <c r="V12" s="1">
        <v>0</v>
      </c>
      <c r="W12" s="1" t="s">
        <v>2</v>
      </c>
      <c r="X12" s="1" t="s">
        <v>2</v>
      </c>
      <c r="Y12" s="1" t="s">
        <v>2</v>
      </c>
      <c r="Z12" s="1" t="s">
        <v>2</v>
      </c>
      <c r="AA12" s="1" t="s">
        <v>2</v>
      </c>
      <c r="AB12" s="1" t="s">
        <v>2</v>
      </c>
      <c r="AC12" s="1" t="s">
        <v>2</v>
      </c>
      <c r="AD12" s="1" t="s">
        <v>2</v>
      </c>
      <c r="AE12" s="1" t="s">
        <v>2</v>
      </c>
      <c r="AF12" s="1" t="s">
        <v>2</v>
      </c>
      <c r="AG12" s="1" t="s">
        <v>2</v>
      </c>
      <c r="AH12" s="1" t="s">
        <v>2</v>
      </c>
      <c r="AI12" s="1" t="s">
        <v>2</v>
      </c>
      <c r="AJ12" s="1" t="s">
        <v>2</v>
      </c>
      <c r="AK12" s="1"/>
      <c r="AL12" s="1" t="s">
        <v>2</v>
      </c>
      <c r="AM12" s="1" t="s">
        <v>2</v>
      </c>
      <c r="AN12" s="1" t="s">
        <v>2</v>
      </c>
      <c r="AO12" s="1"/>
      <c r="AP12" s="1" t="s">
        <v>2</v>
      </c>
      <c r="AQ12" s="1" t="s">
        <v>2</v>
      </c>
      <c r="AR12" s="1" t="s">
        <v>2</v>
      </c>
      <c r="AS12" s="1"/>
      <c r="AT12" s="1"/>
      <c r="AU12" s="1"/>
      <c r="AV12" s="1"/>
      <c r="AW12" s="1"/>
      <c r="AX12" s="1" t="s">
        <v>2</v>
      </c>
      <c r="AY12" s="1" t="s">
        <v>2</v>
      </c>
      <c r="AZ12" s="1" t="s">
        <v>2</v>
      </c>
      <c r="BA12" s="1"/>
      <c r="BB12" s="1"/>
      <c r="BC12" s="1"/>
      <c r="BD12" s="1"/>
      <c r="BE12" s="1"/>
      <c r="BF12" s="1"/>
      <c r="BG12" s="1"/>
      <c r="BH12" s="1" t="s">
        <v>5</v>
      </c>
      <c r="BI12" s="1" t="s">
        <v>6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2</v>
      </c>
      <c r="BQ12" s="1">
        <v>0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7</v>
      </c>
      <c r="BZ12" s="1" t="s">
        <v>8</v>
      </c>
      <c r="CA12" s="1" t="s">
        <v>9</v>
      </c>
      <c r="CB12" s="1" t="s">
        <v>9</v>
      </c>
      <c r="CC12" s="1" t="s">
        <v>9</v>
      </c>
      <c r="CD12" s="1" t="s">
        <v>9</v>
      </c>
      <c r="CE12" s="1" t="s">
        <v>10</v>
      </c>
      <c r="CF12" s="1">
        <v>0</v>
      </c>
      <c r="CG12" s="1">
        <v>0</v>
      </c>
      <c r="CH12" s="1">
        <v>524296</v>
      </c>
      <c r="CI12" s="1" t="s">
        <v>2</v>
      </c>
      <c r="CJ12" s="1" t="s">
        <v>2</v>
      </c>
      <c r="CK12" s="1">
        <v>9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 x14ac:dyDescent="0.2">
      <c r="A14" s="1">
        <v>22</v>
      </c>
      <c r="B14" s="1">
        <v>0</v>
      </c>
      <c r="C14" s="1">
        <v>0</v>
      </c>
      <c r="D14" s="1">
        <v>224527337</v>
      </c>
      <c r="E14" s="1">
        <v>0</v>
      </c>
      <c r="F14" s="1">
        <v>3</v>
      </c>
      <c r="G14" s="1"/>
      <c r="H14" s="1"/>
      <c r="I14" s="1"/>
      <c r="J14" s="1"/>
      <c r="K14" s="1"/>
      <c r="L14" s="1"/>
      <c r="M14" s="1"/>
      <c r="N14" s="1"/>
      <c r="O14" s="1"/>
    </row>
    <row r="16" spans="1:133" x14ac:dyDescent="0.2">
      <c r="A16" s="6">
        <v>3</v>
      </c>
      <c r="B16" s="6">
        <v>1</v>
      </c>
      <c r="C16" s="6" t="s">
        <v>11</v>
      </c>
      <c r="D16" s="6" t="s">
        <v>11</v>
      </c>
      <c r="E16" s="7">
        <f>(Source!F374)/1000</f>
        <v>18.957999999999998</v>
      </c>
      <c r="F16" s="7">
        <f>(Source!F375)/1000</f>
        <v>0.216</v>
      </c>
      <c r="G16" s="7">
        <f>(Source!F376)/1000</f>
        <v>0</v>
      </c>
      <c r="H16" s="7">
        <f>(Source!F377)/1000+(Source!F220)/1000</f>
        <v>0</v>
      </c>
      <c r="I16" s="7">
        <f>E16+F16+G16+H16</f>
        <v>19.173999999999999</v>
      </c>
      <c r="J16" s="7">
        <f>(Source!F367)/1000</f>
        <v>1.8460000000000001</v>
      </c>
      <c r="AI16" s="6">
        <v>0</v>
      </c>
      <c r="AJ16" s="6">
        <v>0</v>
      </c>
      <c r="AK16" s="6" t="s">
        <v>2</v>
      </c>
      <c r="AL16" s="6" t="s">
        <v>2</v>
      </c>
      <c r="AM16" s="6" t="s">
        <v>2</v>
      </c>
      <c r="AN16" s="6">
        <v>0</v>
      </c>
      <c r="AO16" s="6" t="s">
        <v>2</v>
      </c>
      <c r="AP16" s="6" t="s">
        <v>2</v>
      </c>
      <c r="AT16" s="7">
        <v>16325</v>
      </c>
      <c r="AU16" s="7">
        <v>14104</v>
      </c>
      <c r="AV16" s="7">
        <v>0</v>
      </c>
      <c r="AW16" s="7">
        <v>0</v>
      </c>
      <c r="AX16" s="7">
        <v>0</v>
      </c>
      <c r="AY16" s="7">
        <v>375</v>
      </c>
      <c r="AZ16" s="7">
        <v>35</v>
      </c>
      <c r="BA16" s="7">
        <v>1846</v>
      </c>
      <c r="BB16" s="7">
        <v>18958</v>
      </c>
      <c r="BC16" s="7">
        <v>216</v>
      </c>
      <c r="BD16" s="7">
        <v>0</v>
      </c>
      <c r="BE16" s="7">
        <v>0</v>
      </c>
      <c r="BF16" s="7">
        <v>216</v>
      </c>
      <c r="BG16" s="7">
        <v>3.0041786000000008</v>
      </c>
      <c r="BH16" s="7">
        <v>0</v>
      </c>
      <c r="BI16" s="7">
        <v>1904</v>
      </c>
      <c r="BJ16" s="7">
        <v>945</v>
      </c>
      <c r="BK16" s="7">
        <v>19174</v>
      </c>
    </row>
    <row r="18" spans="1:19" x14ac:dyDescent="0.2">
      <c r="A18">
        <v>51</v>
      </c>
      <c r="E18" s="5">
        <f>SUMIF(A16:A17,3,E16:E17)</f>
        <v>18.957999999999998</v>
      </c>
      <c r="F18" s="5">
        <f>SUMIF(A16:A17,3,F16:F17)</f>
        <v>0.216</v>
      </c>
      <c r="G18" s="5">
        <f>SUMIF(A16:A17,3,G16:G17)</f>
        <v>0</v>
      </c>
      <c r="H18" s="5">
        <f>SUMIF(A16:A17,3,H16:H17)</f>
        <v>0</v>
      </c>
      <c r="I18" s="5">
        <f>SUMIF(A16:A17,3,I16:I17)</f>
        <v>19.173999999999999</v>
      </c>
      <c r="J18" s="5">
        <f>SUMIF(A16:A17,3,J16:J17)</f>
        <v>1.8460000000000001</v>
      </c>
      <c r="K18" s="5"/>
      <c r="L18" s="5"/>
      <c r="M18" s="5"/>
      <c r="N18" s="5"/>
      <c r="O18" s="5"/>
      <c r="P18" s="5"/>
      <c r="Q18" s="5"/>
      <c r="R18" s="5"/>
      <c r="S18" s="5"/>
    </row>
    <row r="20" spans="1:19" x14ac:dyDescent="0.2">
      <c r="A20" s="4">
        <v>50</v>
      </c>
      <c r="B20" s="4">
        <v>0</v>
      </c>
      <c r="C20" s="4">
        <v>0</v>
      </c>
      <c r="D20" s="4">
        <v>1</v>
      </c>
      <c r="E20" s="4">
        <v>201</v>
      </c>
      <c r="F20" s="4">
        <v>16325</v>
      </c>
      <c r="G20" s="4" t="s">
        <v>120</v>
      </c>
      <c r="H20" s="4" t="s">
        <v>121</v>
      </c>
      <c r="I20" s="4"/>
      <c r="J20" s="4"/>
      <c r="K20" s="4">
        <v>201</v>
      </c>
      <c r="L20" s="4">
        <v>1</v>
      </c>
      <c r="M20" s="4">
        <v>3</v>
      </c>
      <c r="N20" s="4" t="s">
        <v>2</v>
      </c>
      <c r="O20" s="4">
        <v>0</v>
      </c>
      <c r="P20" s="4"/>
    </row>
    <row r="21" spans="1:19" x14ac:dyDescent="0.2">
      <c r="A21" s="4">
        <v>50</v>
      </c>
      <c r="B21" s="4">
        <v>0</v>
      </c>
      <c r="C21" s="4">
        <v>0</v>
      </c>
      <c r="D21" s="4">
        <v>1</v>
      </c>
      <c r="E21" s="4">
        <v>202</v>
      </c>
      <c r="F21" s="4">
        <v>14104</v>
      </c>
      <c r="G21" s="4" t="s">
        <v>122</v>
      </c>
      <c r="H21" s="4" t="s">
        <v>123</v>
      </c>
      <c r="I21" s="4"/>
      <c r="J21" s="4"/>
      <c r="K21" s="4">
        <v>202</v>
      </c>
      <c r="L21" s="4">
        <v>2</v>
      </c>
      <c r="M21" s="4">
        <v>3</v>
      </c>
      <c r="N21" s="4" t="s">
        <v>2</v>
      </c>
      <c r="O21" s="4">
        <v>0</v>
      </c>
      <c r="P21" s="4"/>
    </row>
    <row r="22" spans="1:19" x14ac:dyDescent="0.2">
      <c r="A22" s="4">
        <v>50</v>
      </c>
      <c r="B22" s="4">
        <v>0</v>
      </c>
      <c r="C22" s="4">
        <v>0</v>
      </c>
      <c r="D22" s="4">
        <v>1</v>
      </c>
      <c r="E22" s="4">
        <v>222</v>
      </c>
      <c r="F22" s="4">
        <v>0</v>
      </c>
      <c r="G22" s="4" t="s">
        <v>124</v>
      </c>
      <c r="H22" s="4" t="s">
        <v>125</v>
      </c>
      <c r="I22" s="4"/>
      <c r="J22" s="4"/>
      <c r="K22" s="4">
        <v>222</v>
      </c>
      <c r="L22" s="4">
        <v>3</v>
      </c>
      <c r="M22" s="4">
        <v>3</v>
      </c>
      <c r="N22" s="4" t="s">
        <v>2</v>
      </c>
      <c r="O22" s="4">
        <v>0</v>
      </c>
      <c r="P22" s="4"/>
    </row>
    <row r="23" spans="1:19" x14ac:dyDescent="0.2">
      <c r="A23" s="4">
        <v>50</v>
      </c>
      <c r="B23" s="4">
        <v>0</v>
      </c>
      <c r="C23" s="4">
        <v>0</v>
      </c>
      <c r="D23" s="4">
        <v>1</v>
      </c>
      <c r="E23" s="4">
        <v>225</v>
      </c>
      <c r="F23" s="4">
        <v>14104</v>
      </c>
      <c r="G23" s="4" t="s">
        <v>126</v>
      </c>
      <c r="H23" s="4" t="s">
        <v>127</v>
      </c>
      <c r="I23" s="4"/>
      <c r="J23" s="4"/>
      <c r="K23" s="4">
        <v>225</v>
      </c>
      <c r="L23" s="4">
        <v>4</v>
      </c>
      <c r="M23" s="4">
        <v>3</v>
      </c>
      <c r="N23" s="4" t="s">
        <v>2</v>
      </c>
      <c r="O23" s="4">
        <v>0</v>
      </c>
      <c r="P23" s="4"/>
    </row>
    <row r="24" spans="1:19" x14ac:dyDescent="0.2">
      <c r="A24" s="4">
        <v>50</v>
      </c>
      <c r="B24" s="4">
        <v>0</v>
      </c>
      <c r="C24" s="4">
        <v>0</v>
      </c>
      <c r="D24" s="4">
        <v>1</v>
      </c>
      <c r="E24" s="4">
        <v>226</v>
      </c>
      <c r="F24" s="4">
        <v>14104</v>
      </c>
      <c r="G24" s="4" t="s">
        <v>128</v>
      </c>
      <c r="H24" s="4" t="s">
        <v>129</v>
      </c>
      <c r="I24" s="4"/>
      <c r="J24" s="4"/>
      <c r="K24" s="4">
        <v>226</v>
      </c>
      <c r="L24" s="4">
        <v>5</v>
      </c>
      <c r="M24" s="4">
        <v>3</v>
      </c>
      <c r="N24" s="4" t="s">
        <v>2</v>
      </c>
      <c r="O24" s="4">
        <v>0</v>
      </c>
      <c r="P24" s="4"/>
    </row>
    <row r="25" spans="1:19" x14ac:dyDescent="0.2">
      <c r="A25" s="4">
        <v>50</v>
      </c>
      <c r="B25" s="4">
        <v>0</v>
      </c>
      <c r="C25" s="4">
        <v>0</v>
      </c>
      <c r="D25" s="4">
        <v>1</v>
      </c>
      <c r="E25" s="4">
        <v>227</v>
      </c>
      <c r="F25" s="4">
        <v>0</v>
      </c>
      <c r="G25" s="4" t="s">
        <v>130</v>
      </c>
      <c r="H25" s="4" t="s">
        <v>131</v>
      </c>
      <c r="I25" s="4"/>
      <c r="J25" s="4"/>
      <c r="K25" s="4">
        <v>227</v>
      </c>
      <c r="L25" s="4">
        <v>6</v>
      </c>
      <c r="M25" s="4">
        <v>3</v>
      </c>
      <c r="N25" s="4" t="s">
        <v>2</v>
      </c>
      <c r="O25" s="4">
        <v>0</v>
      </c>
      <c r="P25" s="4"/>
    </row>
    <row r="26" spans="1:19" x14ac:dyDescent="0.2">
      <c r="A26" s="4">
        <v>50</v>
      </c>
      <c r="B26" s="4">
        <v>0</v>
      </c>
      <c r="C26" s="4">
        <v>0</v>
      </c>
      <c r="D26" s="4">
        <v>1</v>
      </c>
      <c r="E26" s="4">
        <v>228</v>
      </c>
      <c r="F26" s="4">
        <v>14104</v>
      </c>
      <c r="G26" s="4" t="s">
        <v>132</v>
      </c>
      <c r="H26" s="4" t="s">
        <v>133</v>
      </c>
      <c r="I26" s="4"/>
      <c r="J26" s="4"/>
      <c r="K26" s="4">
        <v>228</v>
      </c>
      <c r="L26" s="4">
        <v>7</v>
      </c>
      <c r="M26" s="4">
        <v>3</v>
      </c>
      <c r="N26" s="4" t="s">
        <v>2</v>
      </c>
      <c r="O26" s="4">
        <v>0</v>
      </c>
      <c r="P26" s="4"/>
    </row>
    <row r="27" spans="1:19" x14ac:dyDescent="0.2">
      <c r="A27" s="4">
        <v>50</v>
      </c>
      <c r="B27" s="4">
        <v>0</v>
      </c>
      <c r="C27" s="4">
        <v>0</v>
      </c>
      <c r="D27" s="4">
        <v>1</v>
      </c>
      <c r="E27" s="4">
        <v>216</v>
      </c>
      <c r="F27" s="4">
        <v>0</v>
      </c>
      <c r="G27" s="4" t="s">
        <v>134</v>
      </c>
      <c r="H27" s="4" t="s">
        <v>135</v>
      </c>
      <c r="I27" s="4"/>
      <c r="J27" s="4"/>
      <c r="K27" s="4">
        <v>216</v>
      </c>
      <c r="L27" s="4">
        <v>8</v>
      </c>
      <c r="M27" s="4">
        <v>3</v>
      </c>
      <c r="N27" s="4" t="s">
        <v>2</v>
      </c>
      <c r="O27" s="4">
        <v>0</v>
      </c>
      <c r="P27" s="4"/>
    </row>
    <row r="28" spans="1:19" x14ac:dyDescent="0.2">
      <c r="A28" s="4">
        <v>50</v>
      </c>
      <c r="B28" s="4">
        <v>0</v>
      </c>
      <c r="C28" s="4">
        <v>0</v>
      </c>
      <c r="D28" s="4">
        <v>1</v>
      </c>
      <c r="E28" s="4">
        <v>223</v>
      </c>
      <c r="F28" s="4">
        <v>0</v>
      </c>
      <c r="G28" s="4" t="s">
        <v>136</v>
      </c>
      <c r="H28" s="4" t="s">
        <v>137</v>
      </c>
      <c r="I28" s="4"/>
      <c r="J28" s="4"/>
      <c r="K28" s="4">
        <v>223</v>
      </c>
      <c r="L28" s="4">
        <v>9</v>
      </c>
      <c r="M28" s="4">
        <v>3</v>
      </c>
      <c r="N28" s="4" t="s">
        <v>2</v>
      </c>
      <c r="O28" s="4">
        <v>0</v>
      </c>
      <c r="P28" s="4"/>
    </row>
    <row r="29" spans="1:19" x14ac:dyDescent="0.2">
      <c r="A29" s="4">
        <v>50</v>
      </c>
      <c r="B29" s="4">
        <v>0</v>
      </c>
      <c r="C29" s="4">
        <v>0</v>
      </c>
      <c r="D29" s="4">
        <v>1</v>
      </c>
      <c r="E29" s="4">
        <v>229</v>
      </c>
      <c r="F29" s="4">
        <v>0</v>
      </c>
      <c r="G29" s="4" t="s">
        <v>138</v>
      </c>
      <c r="H29" s="4" t="s">
        <v>139</v>
      </c>
      <c r="I29" s="4"/>
      <c r="J29" s="4"/>
      <c r="K29" s="4">
        <v>229</v>
      </c>
      <c r="L29" s="4">
        <v>10</v>
      </c>
      <c r="M29" s="4">
        <v>3</v>
      </c>
      <c r="N29" s="4" t="s">
        <v>2</v>
      </c>
      <c r="O29" s="4">
        <v>0</v>
      </c>
      <c r="P29" s="4"/>
    </row>
    <row r="30" spans="1:19" x14ac:dyDescent="0.2">
      <c r="A30" s="4">
        <v>50</v>
      </c>
      <c r="B30" s="4">
        <v>0</v>
      </c>
      <c r="C30" s="4">
        <v>0</v>
      </c>
      <c r="D30" s="4">
        <v>1</v>
      </c>
      <c r="E30" s="4">
        <v>203</v>
      </c>
      <c r="F30" s="4">
        <v>375</v>
      </c>
      <c r="G30" s="4" t="s">
        <v>140</v>
      </c>
      <c r="H30" s="4" t="s">
        <v>141</v>
      </c>
      <c r="I30" s="4"/>
      <c r="J30" s="4"/>
      <c r="K30" s="4">
        <v>203</v>
      </c>
      <c r="L30" s="4">
        <v>11</v>
      </c>
      <c r="M30" s="4">
        <v>3</v>
      </c>
      <c r="N30" s="4" t="s">
        <v>2</v>
      </c>
      <c r="O30" s="4">
        <v>0</v>
      </c>
      <c r="P30" s="4"/>
    </row>
    <row r="31" spans="1:19" x14ac:dyDescent="0.2">
      <c r="A31" s="4">
        <v>50</v>
      </c>
      <c r="B31" s="4">
        <v>0</v>
      </c>
      <c r="C31" s="4">
        <v>0</v>
      </c>
      <c r="D31" s="4">
        <v>1</v>
      </c>
      <c r="E31" s="4">
        <v>231</v>
      </c>
      <c r="F31" s="4">
        <v>0</v>
      </c>
      <c r="G31" s="4" t="s">
        <v>142</v>
      </c>
      <c r="H31" s="4" t="s">
        <v>143</v>
      </c>
      <c r="I31" s="4"/>
      <c r="J31" s="4"/>
      <c r="K31" s="4">
        <v>231</v>
      </c>
      <c r="L31" s="4">
        <v>12</v>
      </c>
      <c r="M31" s="4">
        <v>3</v>
      </c>
      <c r="N31" s="4" t="s">
        <v>2</v>
      </c>
      <c r="O31" s="4">
        <v>0</v>
      </c>
      <c r="P31" s="4"/>
    </row>
    <row r="32" spans="1:19" x14ac:dyDescent="0.2">
      <c r="A32" s="4">
        <v>50</v>
      </c>
      <c r="B32" s="4">
        <v>0</v>
      </c>
      <c r="C32" s="4">
        <v>0</v>
      </c>
      <c r="D32" s="4">
        <v>1</v>
      </c>
      <c r="E32" s="4">
        <v>204</v>
      </c>
      <c r="F32" s="4">
        <v>35</v>
      </c>
      <c r="G32" s="4" t="s">
        <v>144</v>
      </c>
      <c r="H32" s="4" t="s">
        <v>145</v>
      </c>
      <c r="I32" s="4"/>
      <c r="J32" s="4"/>
      <c r="K32" s="4">
        <v>204</v>
      </c>
      <c r="L32" s="4">
        <v>13</v>
      </c>
      <c r="M32" s="4">
        <v>3</v>
      </c>
      <c r="N32" s="4" t="s">
        <v>2</v>
      </c>
      <c r="O32" s="4">
        <v>0</v>
      </c>
      <c r="P32" s="4"/>
    </row>
    <row r="33" spans="1:16" x14ac:dyDescent="0.2">
      <c r="A33" s="4">
        <v>50</v>
      </c>
      <c r="B33" s="4">
        <v>0</v>
      </c>
      <c r="C33" s="4">
        <v>0</v>
      </c>
      <c r="D33" s="4">
        <v>1</v>
      </c>
      <c r="E33" s="4">
        <v>205</v>
      </c>
      <c r="F33" s="4">
        <v>1846</v>
      </c>
      <c r="G33" s="4" t="s">
        <v>146</v>
      </c>
      <c r="H33" s="4" t="s">
        <v>147</v>
      </c>
      <c r="I33" s="4"/>
      <c r="J33" s="4"/>
      <c r="K33" s="4">
        <v>205</v>
      </c>
      <c r="L33" s="4">
        <v>14</v>
      </c>
      <c r="M33" s="4">
        <v>3</v>
      </c>
      <c r="N33" s="4" t="s">
        <v>2</v>
      </c>
      <c r="O33" s="4">
        <v>0</v>
      </c>
      <c r="P33" s="4"/>
    </row>
    <row r="34" spans="1:16" x14ac:dyDescent="0.2">
      <c r="A34" s="4">
        <v>50</v>
      </c>
      <c r="B34" s="4">
        <v>0</v>
      </c>
      <c r="C34" s="4">
        <v>0</v>
      </c>
      <c r="D34" s="4">
        <v>1</v>
      </c>
      <c r="E34" s="4">
        <v>232</v>
      </c>
      <c r="F34" s="4">
        <v>0</v>
      </c>
      <c r="G34" s="4" t="s">
        <v>148</v>
      </c>
      <c r="H34" s="4" t="s">
        <v>149</v>
      </c>
      <c r="I34" s="4"/>
      <c r="J34" s="4"/>
      <c r="K34" s="4">
        <v>232</v>
      </c>
      <c r="L34" s="4">
        <v>15</v>
      </c>
      <c r="M34" s="4">
        <v>3</v>
      </c>
      <c r="N34" s="4" t="s">
        <v>2</v>
      </c>
      <c r="O34" s="4">
        <v>0</v>
      </c>
      <c r="P34" s="4"/>
    </row>
    <row r="35" spans="1:16" x14ac:dyDescent="0.2">
      <c r="A35" s="4">
        <v>50</v>
      </c>
      <c r="B35" s="4">
        <v>0</v>
      </c>
      <c r="C35" s="4">
        <v>0</v>
      </c>
      <c r="D35" s="4">
        <v>1</v>
      </c>
      <c r="E35" s="4">
        <v>214</v>
      </c>
      <c r="F35" s="4">
        <v>18958</v>
      </c>
      <c r="G35" s="4" t="s">
        <v>150</v>
      </c>
      <c r="H35" s="4" t="s">
        <v>151</v>
      </c>
      <c r="I35" s="4"/>
      <c r="J35" s="4"/>
      <c r="K35" s="4">
        <v>214</v>
      </c>
      <c r="L35" s="4">
        <v>16</v>
      </c>
      <c r="M35" s="4">
        <v>3</v>
      </c>
      <c r="N35" s="4" t="s">
        <v>2</v>
      </c>
      <c r="O35" s="4">
        <v>0</v>
      </c>
      <c r="P35" s="4"/>
    </row>
    <row r="36" spans="1:16" x14ac:dyDescent="0.2">
      <c r="A36" s="4">
        <v>50</v>
      </c>
      <c r="B36" s="4">
        <v>0</v>
      </c>
      <c r="C36" s="4">
        <v>0</v>
      </c>
      <c r="D36" s="4">
        <v>1</v>
      </c>
      <c r="E36" s="4">
        <v>215</v>
      </c>
      <c r="F36" s="4">
        <v>216</v>
      </c>
      <c r="G36" s="4" t="s">
        <v>152</v>
      </c>
      <c r="H36" s="4" t="s">
        <v>153</v>
      </c>
      <c r="I36" s="4"/>
      <c r="J36" s="4"/>
      <c r="K36" s="4">
        <v>215</v>
      </c>
      <c r="L36" s="4">
        <v>17</v>
      </c>
      <c r="M36" s="4">
        <v>3</v>
      </c>
      <c r="N36" s="4" t="s">
        <v>2</v>
      </c>
      <c r="O36" s="4">
        <v>0</v>
      </c>
      <c r="P36" s="4"/>
    </row>
    <row r="37" spans="1:16" x14ac:dyDescent="0.2">
      <c r="A37" s="4">
        <v>50</v>
      </c>
      <c r="B37" s="4">
        <v>0</v>
      </c>
      <c r="C37" s="4">
        <v>0</v>
      </c>
      <c r="D37" s="4">
        <v>1</v>
      </c>
      <c r="E37" s="4">
        <v>217</v>
      </c>
      <c r="F37" s="4">
        <v>0</v>
      </c>
      <c r="G37" s="4" t="s">
        <v>154</v>
      </c>
      <c r="H37" s="4" t="s">
        <v>155</v>
      </c>
      <c r="I37" s="4"/>
      <c r="J37" s="4"/>
      <c r="K37" s="4">
        <v>217</v>
      </c>
      <c r="L37" s="4">
        <v>18</v>
      </c>
      <c r="M37" s="4">
        <v>3</v>
      </c>
      <c r="N37" s="4" t="s">
        <v>2</v>
      </c>
      <c r="O37" s="4">
        <v>0</v>
      </c>
      <c r="P37" s="4"/>
    </row>
    <row r="38" spans="1:16" x14ac:dyDescent="0.2">
      <c r="A38" s="4">
        <v>50</v>
      </c>
      <c r="B38" s="4">
        <v>0</v>
      </c>
      <c r="C38" s="4">
        <v>0</v>
      </c>
      <c r="D38" s="4">
        <v>1</v>
      </c>
      <c r="E38" s="4">
        <v>230</v>
      </c>
      <c r="F38" s="4">
        <v>0</v>
      </c>
      <c r="G38" s="4" t="s">
        <v>156</v>
      </c>
      <c r="H38" s="4" t="s">
        <v>157</v>
      </c>
      <c r="I38" s="4"/>
      <c r="J38" s="4"/>
      <c r="K38" s="4">
        <v>230</v>
      </c>
      <c r="L38" s="4">
        <v>19</v>
      </c>
      <c r="M38" s="4">
        <v>3</v>
      </c>
      <c r="N38" s="4" t="s">
        <v>2</v>
      </c>
      <c r="O38" s="4">
        <v>0</v>
      </c>
      <c r="P38" s="4"/>
    </row>
    <row r="39" spans="1:16" x14ac:dyDescent="0.2">
      <c r="A39" s="4">
        <v>50</v>
      </c>
      <c r="B39" s="4">
        <v>0</v>
      </c>
      <c r="C39" s="4">
        <v>0</v>
      </c>
      <c r="D39" s="4">
        <v>1</v>
      </c>
      <c r="E39" s="4">
        <v>206</v>
      </c>
      <c r="F39" s="4">
        <v>0</v>
      </c>
      <c r="G39" s="4" t="s">
        <v>158</v>
      </c>
      <c r="H39" s="4" t="s">
        <v>159</v>
      </c>
      <c r="I39" s="4"/>
      <c r="J39" s="4"/>
      <c r="K39" s="4">
        <v>206</v>
      </c>
      <c r="L39" s="4">
        <v>20</v>
      </c>
      <c r="M39" s="4">
        <v>3</v>
      </c>
      <c r="N39" s="4" t="s">
        <v>2</v>
      </c>
      <c r="O39" s="4">
        <v>0</v>
      </c>
      <c r="P39" s="4"/>
    </row>
    <row r="40" spans="1:16" x14ac:dyDescent="0.2">
      <c r="A40" s="4">
        <v>50</v>
      </c>
      <c r="B40" s="4">
        <v>0</v>
      </c>
      <c r="C40" s="4">
        <v>0</v>
      </c>
      <c r="D40" s="4">
        <v>1</v>
      </c>
      <c r="E40" s="4">
        <v>207</v>
      </c>
      <c r="F40" s="4">
        <v>212.77353590000001</v>
      </c>
      <c r="G40" s="4" t="s">
        <v>160</v>
      </c>
      <c r="H40" s="4" t="s">
        <v>161</v>
      </c>
      <c r="I40" s="4"/>
      <c r="J40" s="4"/>
      <c r="K40" s="4">
        <v>207</v>
      </c>
      <c r="L40" s="4">
        <v>21</v>
      </c>
      <c r="M40" s="4">
        <v>3</v>
      </c>
      <c r="N40" s="4" t="s">
        <v>2</v>
      </c>
      <c r="O40" s="4">
        <v>-1</v>
      </c>
      <c r="P40" s="4"/>
    </row>
    <row r="41" spans="1:16" x14ac:dyDescent="0.2">
      <c r="A41" s="4">
        <v>50</v>
      </c>
      <c r="B41" s="4">
        <v>0</v>
      </c>
      <c r="C41" s="4">
        <v>0</v>
      </c>
      <c r="D41" s="4">
        <v>1</v>
      </c>
      <c r="E41" s="4">
        <v>208</v>
      </c>
      <c r="F41" s="4">
        <v>3.0041786000000008</v>
      </c>
      <c r="G41" s="4" t="s">
        <v>162</v>
      </c>
      <c r="H41" s="4" t="s">
        <v>163</v>
      </c>
      <c r="I41" s="4"/>
      <c r="J41" s="4"/>
      <c r="K41" s="4">
        <v>208</v>
      </c>
      <c r="L41" s="4">
        <v>22</v>
      </c>
      <c r="M41" s="4">
        <v>3</v>
      </c>
      <c r="N41" s="4" t="s">
        <v>2</v>
      </c>
      <c r="O41" s="4">
        <v>-1</v>
      </c>
      <c r="P41" s="4"/>
    </row>
    <row r="42" spans="1:16" x14ac:dyDescent="0.2">
      <c r="A42" s="4">
        <v>50</v>
      </c>
      <c r="B42" s="4">
        <v>0</v>
      </c>
      <c r="C42" s="4">
        <v>0</v>
      </c>
      <c r="D42" s="4">
        <v>1</v>
      </c>
      <c r="E42" s="4">
        <v>209</v>
      </c>
      <c r="F42" s="4">
        <v>0</v>
      </c>
      <c r="G42" s="4" t="s">
        <v>164</v>
      </c>
      <c r="H42" s="4" t="s">
        <v>165</v>
      </c>
      <c r="I42" s="4"/>
      <c r="J42" s="4"/>
      <c r="K42" s="4">
        <v>209</v>
      </c>
      <c r="L42" s="4">
        <v>23</v>
      </c>
      <c r="M42" s="4">
        <v>3</v>
      </c>
      <c r="N42" s="4" t="s">
        <v>2</v>
      </c>
      <c r="O42" s="4">
        <v>0</v>
      </c>
      <c r="P42" s="4"/>
    </row>
    <row r="43" spans="1:16" x14ac:dyDescent="0.2">
      <c r="A43" s="4">
        <v>50</v>
      </c>
      <c r="B43" s="4">
        <v>0</v>
      </c>
      <c r="C43" s="4">
        <v>0</v>
      </c>
      <c r="D43" s="4">
        <v>1</v>
      </c>
      <c r="E43" s="4">
        <v>233</v>
      </c>
      <c r="F43" s="4">
        <v>0</v>
      </c>
      <c r="G43" s="4" t="s">
        <v>166</v>
      </c>
      <c r="H43" s="4" t="s">
        <v>167</v>
      </c>
      <c r="I43" s="4"/>
      <c r="J43" s="4"/>
      <c r="K43" s="4">
        <v>233</v>
      </c>
      <c r="L43" s="4">
        <v>24</v>
      </c>
      <c r="M43" s="4">
        <v>3</v>
      </c>
      <c r="N43" s="4" t="s">
        <v>2</v>
      </c>
      <c r="O43" s="4">
        <v>0</v>
      </c>
      <c r="P43" s="4"/>
    </row>
    <row r="44" spans="1:16" x14ac:dyDescent="0.2">
      <c r="A44" s="4">
        <v>50</v>
      </c>
      <c r="B44" s="4">
        <v>0</v>
      </c>
      <c r="C44" s="4">
        <v>0</v>
      </c>
      <c r="D44" s="4">
        <v>1</v>
      </c>
      <c r="E44" s="4">
        <v>210</v>
      </c>
      <c r="F44" s="4">
        <v>1904</v>
      </c>
      <c r="G44" s="4" t="s">
        <v>168</v>
      </c>
      <c r="H44" s="4" t="s">
        <v>169</v>
      </c>
      <c r="I44" s="4"/>
      <c r="J44" s="4"/>
      <c r="K44" s="4">
        <v>210</v>
      </c>
      <c r="L44" s="4">
        <v>25</v>
      </c>
      <c r="M44" s="4">
        <v>3</v>
      </c>
      <c r="N44" s="4" t="s">
        <v>2</v>
      </c>
      <c r="O44" s="4">
        <v>0</v>
      </c>
      <c r="P44" s="4"/>
    </row>
    <row r="45" spans="1:16" x14ac:dyDescent="0.2">
      <c r="A45" s="4">
        <v>50</v>
      </c>
      <c r="B45" s="4">
        <v>0</v>
      </c>
      <c r="C45" s="4">
        <v>0</v>
      </c>
      <c r="D45" s="4">
        <v>1</v>
      </c>
      <c r="E45" s="4">
        <v>211</v>
      </c>
      <c r="F45" s="4">
        <v>945</v>
      </c>
      <c r="G45" s="4" t="s">
        <v>170</v>
      </c>
      <c r="H45" s="4" t="s">
        <v>171</v>
      </c>
      <c r="I45" s="4"/>
      <c r="J45" s="4"/>
      <c r="K45" s="4">
        <v>211</v>
      </c>
      <c r="L45" s="4">
        <v>26</v>
      </c>
      <c r="M45" s="4">
        <v>3</v>
      </c>
      <c r="N45" s="4" t="s">
        <v>2</v>
      </c>
      <c r="O45" s="4">
        <v>0</v>
      </c>
      <c r="P45" s="4"/>
    </row>
    <row r="46" spans="1:16" x14ac:dyDescent="0.2">
      <c r="A46" s="4">
        <v>50</v>
      </c>
      <c r="B46" s="4">
        <v>0</v>
      </c>
      <c r="C46" s="4">
        <v>0</v>
      </c>
      <c r="D46" s="4">
        <v>1</v>
      </c>
      <c r="E46" s="4">
        <v>224</v>
      </c>
      <c r="F46" s="4">
        <v>19174</v>
      </c>
      <c r="G46" s="4" t="s">
        <v>172</v>
      </c>
      <c r="H46" s="4" t="s">
        <v>173</v>
      </c>
      <c r="I46" s="4"/>
      <c r="J46" s="4"/>
      <c r="K46" s="4">
        <v>224</v>
      </c>
      <c r="L46" s="4">
        <v>27</v>
      </c>
      <c r="M46" s="4">
        <v>3</v>
      </c>
      <c r="N46" s="4" t="s">
        <v>2</v>
      </c>
      <c r="O46" s="4">
        <v>0</v>
      </c>
      <c r="P46" s="4"/>
    </row>
    <row r="48" spans="1:16" x14ac:dyDescent="0.2">
      <c r="A48">
        <v>-1</v>
      </c>
    </row>
    <row r="51" spans="1:15" x14ac:dyDescent="0.2">
      <c r="A51" s="3">
        <v>75</v>
      </c>
      <c r="B51" s="3" t="s">
        <v>596</v>
      </c>
      <c r="C51" s="3">
        <v>2000</v>
      </c>
      <c r="D51" s="3">
        <v>0</v>
      </c>
      <c r="E51" s="3">
        <v>1</v>
      </c>
      <c r="F51" s="3">
        <v>0</v>
      </c>
      <c r="G51" s="3">
        <v>0</v>
      </c>
      <c r="H51" s="3">
        <v>1</v>
      </c>
      <c r="I51" s="3">
        <v>0</v>
      </c>
      <c r="J51" s="3">
        <v>3</v>
      </c>
      <c r="K51" s="3">
        <v>0</v>
      </c>
      <c r="L51" s="3">
        <v>0</v>
      </c>
      <c r="M51" s="3">
        <v>0</v>
      </c>
      <c r="N51" s="3">
        <v>224527337</v>
      </c>
      <c r="O51" s="3">
        <v>1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126"/>
  <sheetViews>
    <sheetView workbookViewId="0">
      <selection activeCell="G13" sqref="G13"/>
    </sheetView>
  </sheetViews>
  <sheetFormatPr defaultColWidth="9.140625" defaultRowHeight="12.75" x14ac:dyDescent="0.2"/>
  <cols>
    <col min="1" max="256" width="9.140625" customWidth="1"/>
  </cols>
  <sheetData>
    <row r="1" spans="1:107" x14ac:dyDescent="0.2">
      <c r="A1">
        <f>ROW(Source!A28)</f>
        <v>28</v>
      </c>
      <c r="B1">
        <v>224527337</v>
      </c>
      <c r="C1">
        <v>224527558</v>
      </c>
      <c r="D1">
        <v>222895881</v>
      </c>
      <c r="E1">
        <v>70</v>
      </c>
      <c r="F1">
        <v>1</v>
      </c>
      <c r="G1">
        <v>1</v>
      </c>
      <c r="H1">
        <v>1</v>
      </c>
      <c r="I1" t="s">
        <v>598</v>
      </c>
      <c r="J1" t="s">
        <v>2</v>
      </c>
      <c r="K1" t="s">
        <v>599</v>
      </c>
      <c r="L1">
        <v>1191</v>
      </c>
      <c r="N1">
        <v>74472246</v>
      </c>
      <c r="O1" t="s">
        <v>600</v>
      </c>
      <c r="P1" t="s">
        <v>600</v>
      </c>
      <c r="Q1">
        <v>1</v>
      </c>
      <c r="W1">
        <v>0</v>
      </c>
      <c r="X1">
        <v>-1040088138</v>
      </c>
      <c r="Y1">
        <v>1.03</v>
      </c>
      <c r="AA1">
        <v>0</v>
      </c>
      <c r="AB1">
        <v>0</v>
      </c>
      <c r="AC1">
        <v>0</v>
      </c>
      <c r="AD1">
        <v>7.19</v>
      </c>
      <c r="AE1">
        <v>0</v>
      </c>
      <c r="AF1">
        <v>0</v>
      </c>
      <c r="AG1">
        <v>0</v>
      </c>
      <c r="AH1">
        <v>7.19</v>
      </c>
      <c r="AI1">
        <v>1</v>
      </c>
      <c r="AJ1">
        <v>1</v>
      </c>
      <c r="AK1">
        <v>1</v>
      </c>
      <c r="AL1">
        <v>1</v>
      </c>
      <c r="AN1">
        <v>0</v>
      </c>
      <c r="AO1">
        <v>1</v>
      </c>
      <c r="AP1">
        <v>0</v>
      </c>
      <c r="AQ1">
        <v>0</v>
      </c>
      <c r="AR1">
        <v>0</v>
      </c>
      <c r="AS1" t="s">
        <v>2</v>
      </c>
      <c r="AT1">
        <v>1.03</v>
      </c>
      <c r="AU1" t="s">
        <v>2</v>
      </c>
      <c r="AV1">
        <v>1</v>
      </c>
      <c r="AW1">
        <v>2</v>
      </c>
      <c r="AX1">
        <v>224527559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X1">
        <f>Y1*Source!I28</f>
        <v>0.51500000000000001</v>
      </c>
      <c r="CY1">
        <f>AD1</f>
        <v>7.19</v>
      </c>
      <c r="CZ1">
        <f>AH1</f>
        <v>7.19</v>
      </c>
      <c r="DA1">
        <f>AL1</f>
        <v>1</v>
      </c>
      <c r="DB1">
        <f t="shared" ref="DB1:DB8" si="0">ROUND(ROUND(AT1*CZ1,2),2)</f>
        <v>7.41</v>
      </c>
      <c r="DC1">
        <f t="shared" ref="DC1:DC8" si="1">ROUND(ROUND(AT1*AG1,2),2)</f>
        <v>0</v>
      </c>
    </row>
    <row r="2" spans="1:107" x14ac:dyDescent="0.2">
      <c r="A2">
        <f>ROW(Source!A28)</f>
        <v>28</v>
      </c>
      <c r="B2">
        <v>224527337</v>
      </c>
      <c r="C2">
        <v>224527558</v>
      </c>
      <c r="D2">
        <v>222911895</v>
      </c>
      <c r="E2">
        <v>1</v>
      </c>
      <c r="F2">
        <v>1</v>
      </c>
      <c r="G2">
        <v>1</v>
      </c>
      <c r="H2">
        <v>3</v>
      </c>
      <c r="I2" t="s">
        <v>601</v>
      </c>
      <c r="J2" t="s">
        <v>602</v>
      </c>
      <c r="K2" t="s">
        <v>603</v>
      </c>
      <c r="L2">
        <v>1425</v>
      </c>
      <c r="N2">
        <v>74472246</v>
      </c>
      <c r="O2" t="s">
        <v>604</v>
      </c>
      <c r="P2" t="s">
        <v>604</v>
      </c>
      <c r="Q2">
        <v>1</v>
      </c>
      <c r="W2">
        <v>0</v>
      </c>
      <c r="X2">
        <v>1029976444</v>
      </c>
      <c r="Y2">
        <v>0.2</v>
      </c>
      <c r="AA2">
        <v>82</v>
      </c>
      <c r="AB2">
        <v>0</v>
      </c>
      <c r="AC2">
        <v>0</v>
      </c>
      <c r="AD2">
        <v>0</v>
      </c>
      <c r="AE2">
        <v>82</v>
      </c>
      <c r="AF2">
        <v>0</v>
      </c>
      <c r="AG2">
        <v>0</v>
      </c>
      <c r="AH2">
        <v>0</v>
      </c>
      <c r="AI2">
        <v>1</v>
      </c>
      <c r="AJ2">
        <v>1</v>
      </c>
      <c r="AK2">
        <v>1</v>
      </c>
      <c r="AL2">
        <v>1</v>
      </c>
      <c r="AN2">
        <v>0</v>
      </c>
      <c r="AO2">
        <v>1</v>
      </c>
      <c r="AP2">
        <v>0</v>
      </c>
      <c r="AQ2">
        <v>0</v>
      </c>
      <c r="AR2">
        <v>0</v>
      </c>
      <c r="AS2" t="s">
        <v>2</v>
      </c>
      <c r="AT2">
        <v>0.2</v>
      </c>
      <c r="AU2" t="s">
        <v>2</v>
      </c>
      <c r="AV2">
        <v>0</v>
      </c>
      <c r="AW2">
        <v>2</v>
      </c>
      <c r="AX2">
        <v>224527560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X2">
        <f>Y2*Source!I28</f>
        <v>0.1</v>
      </c>
      <c r="CY2">
        <f>AA2</f>
        <v>82</v>
      </c>
      <c r="CZ2">
        <f>AE2</f>
        <v>82</v>
      </c>
      <c r="DA2">
        <f>AI2</f>
        <v>1</v>
      </c>
      <c r="DB2">
        <f t="shared" si="0"/>
        <v>16.399999999999999</v>
      </c>
      <c r="DC2">
        <f t="shared" si="1"/>
        <v>0</v>
      </c>
    </row>
    <row r="3" spans="1:107" x14ac:dyDescent="0.2">
      <c r="A3">
        <f>ROW(Source!A29)</f>
        <v>29</v>
      </c>
      <c r="B3">
        <v>224527337</v>
      </c>
      <c r="C3">
        <v>224527561</v>
      </c>
      <c r="D3">
        <v>222895959</v>
      </c>
      <c r="E3">
        <v>70</v>
      </c>
      <c r="F3">
        <v>1</v>
      </c>
      <c r="G3">
        <v>1</v>
      </c>
      <c r="H3">
        <v>1</v>
      </c>
      <c r="I3" t="s">
        <v>605</v>
      </c>
      <c r="J3" t="s">
        <v>2</v>
      </c>
      <c r="K3" t="s">
        <v>606</v>
      </c>
      <c r="L3">
        <v>1191</v>
      </c>
      <c r="N3">
        <v>74472246</v>
      </c>
      <c r="O3" t="s">
        <v>600</v>
      </c>
      <c r="P3" t="s">
        <v>600</v>
      </c>
      <c r="Q3">
        <v>1</v>
      </c>
      <c r="W3">
        <v>0</v>
      </c>
      <c r="X3">
        <v>-961628416</v>
      </c>
      <c r="Y3">
        <v>42.01</v>
      </c>
      <c r="AA3">
        <v>0</v>
      </c>
      <c r="AB3">
        <v>0</v>
      </c>
      <c r="AC3">
        <v>0</v>
      </c>
      <c r="AD3">
        <v>8.4600000000000009</v>
      </c>
      <c r="AE3">
        <v>0</v>
      </c>
      <c r="AF3">
        <v>0</v>
      </c>
      <c r="AG3">
        <v>0</v>
      </c>
      <c r="AH3">
        <v>8.4600000000000009</v>
      </c>
      <c r="AI3">
        <v>1</v>
      </c>
      <c r="AJ3">
        <v>1</v>
      </c>
      <c r="AK3">
        <v>1</v>
      </c>
      <c r="AL3">
        <v>1</v>
      </c>
      <c r="AN3">
        <v>0</v>
      </c>
      <c r="AO3">
        <v>1</v>
      </c>
      <c r="AP3">
        <v>0</v>
      </c>
      <c r="AQ3">
        <v>0</v>
      </c>
      <c r="AR3">
        <v>0</v>
      </c>
      <c r="AS3" t="s">
        <v>2</v>
      </c>
      <c r="AT3">
        <v>42.01</v>
      </c>
      <c r="AU3" t="s">
        <v>2</v>
      </c>
      <c r="AV3">
        <v>1</v>
      </c>
      <c r="AW3">
        <v>2</v>
      </c>
      <c r="AX3">
        <v>224527562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X3">
        <f>Y3*Source!I29</f>
        <v>20.1648</v>
      </c>
      <c r="CY3">
        <f>AD3</f>
        <v>8.4600000000000009</v>
      </c>
      <c r="CZ3">
        <f>AH3</f>
        <v>8.4600000000000009</v>
      </c>
      <c r="DA3">
        <f>AL3</f>
        <v>1</v>
      </c>
      <c r="DB3">
        <f t="shared" si="0"/>
        <v>355.4</v>
      </c>
      <c r="DC3">
        <f t="shared" si="1"/>
        <v>0</v>
      </c>
    </row>
    <row r="4" spans="1:107" x14ac:dyDescent="0.2">
      <c r="A4">
        <f>ROW(Source!A29)</f>
        <v>29</v>
      </c>
      <c r="B4">
        <v>224527337</v>
      </c>
      <c r="C4">
        <v>224527561</v>
      </c>
      <c r="D4">
        <v>222896153</v>
      </c>
      <c r="E4">
        <v>70</v>
      </c>
      <c r="F4">
        <v>1</v>
      </c>
      <c r="G4">
        <v>1</v>
      </c>
      <c r="H4">
        <v>1</v>
      </c>
      <c r="I4" t="s">
        <v>607</v>
      </c>
      <c r="J4" t="s">
        <v>2</v>
      </c>
      <c r="K4" t="s">
        <v>608</v>
      </c>
      <c r="L4">
        <v>1191</v>
      </c>
      <c r="N4">
        <v>74472246</v>
      </c>
      <c r="O4" t="s">
        <v>600</v>
      </c>
      <c r="P4" t="s">
        <v>600</v>
      </c>
      <c r="Q4">
        <v>1</v>
      </c>
      <c r="W4">
        <v>0</v>
      </c>
      <c r="X4">
        <v>-1417349443</v>
      </c>
      <c r="Y4">
        <v>0.99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1</v>
      </c>
      <c r="AJ4">
        <v>1</v>
      </c>
      <c r="AK4">
        <v>1</v>
      </c>
      <c r="AL4">
        <v>1</v>
      </c>
      <c r="AN4">
        <v>0</v>
      </c>
      <c r="AO4">
        <v>1</v>
      </c>
      <c r="AP4">
        <v>0</v>
      </c>
      <c r="AQ4">
        <v>0</v>
      </c>
      <c r="AR4">
        <v>0</v>
      </c>
      <c r="AS4" t="s">
        <v>2</v>
      </c>
      <c r="AT4">
        <v>0.99</v>
      </c>
      <c r="AU4" t="s">
        <v>2</v>
      </c>
      <c r="AV4">
        <v>2</v>
      </c>
      <c r="AW4">
        <v>2</v>
      </c>
      <c r="AX4">
        <v>224527563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X4">
        <f>Y4*Source!I29</f>
        <v>0.47519999999999996</v>
      </c>
      <c r="CY4">
        <f>AD4</f>
        <v>0</v>
      </c>
      <c r="CZ4">
        <f>AH4</f>
        <v>0</v>
      </c>
      <c r="DA4">
        <f>AL4</f>
        <v>1</v>
      </c>
      <c r="DB4">
        <f t="shared" si="0"/>
        <v>0</v>
      </c>
      <c r="DC4">
        <f t="shared" si="1"/>
        <v>0</v>
      </c>
    </row>
    <row r="5" spans="1:107" x14ac:dyDescent="0.2">
      <c r="A5">
        <f>ROW(Source!A29)</f>
        <v>29</v>
      </c>
      <c r="B5">
        <v>224527337</v>
      </c>
      <c r="C5">
        <v>224527561</v>
      </c>
      <c r="D5">
        <v>223057975</v>
      </c>
      <c r="E5">
        <v>1</v>
      </c>
      <c r="F5">
        <v>1</v>
      </c>
      <c r="G5">
        <v>1</v>
      </c>
      <c r="H5">
        <v>2</v>
      </c>
      <c r="I5" t="s">
        <v>609</v>
      </c>
      <c r="J5" t="s">
        <v>610</v>
      </c>
      <c r="K5" t="s">
        <v>611</v>
      </c>
      <c r="L5">
        <v>1367</v>
      </c>
      <c r="N5">
        <v>1011</v>
      </c>
      <c r="O5" t="s">
        <v>612</v>
      </c>
      <c r="P5" t="s">
        <v>612</v>
      </c>
      <c r="Q5">
        <v>1</v>
      </c>
      <c r="W5">
        <v>0</v>
      </c>
      <c r="X5">
        <v>-896236776</v>
      </c>
      <c r="Y5">
        <v>0.02</v>
      </c>
      <c r="AA5">
        <v>0</v>
      </c>
      <c r="AB5">
        <v>89.99</v>
      </c>
      <c r="AC5">
        <v>10.06</v>
      </c>
      <c r="AD5">
        <v>0</v>
      </c>
      <c r="AE5">
        <v>0</v>
      </c>
      <c r="AF5">
        <v>89.99</v>
      </c>
      <c r="AG5">
        <v>10.06</v>
      </c>
      <c r="AH5">
        <v>0</v>
      </c>
      <c r="AI5">
        <v>1</v>
      </c>
      <c r="AJ5">
        <v>1</v>
      </c>
      <c r="AK5">
        <v>1</v>
      </c>
      <c r="AL5">
        <v>1</v>
      </c>
      <c r="AN5">
        <v>0</v>
      </c>
      <c r="AO5">
        <v>1</v>
      </c>
      <c r="AP5">
        <v>0</v>
      </c>
      <c r="AQ5">
        <v>0</v>
      </c>
      <c r="AR5">
        <v>0</v>
      </c>
      <c r="AS5" t="s">
        <v>2</v>
      </c>
      <c r="AT5">
        <v>0.02</v>
      </c>
      <c r="AU5" t="s">
        <v>2</v>
      </c>
      <c r="AV5">
        <v>0</v>
      </c>
      <c r="AW5">
        <v>2</v>
      </c>
      <c r="AX5">
        <v>224527564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X5">
        <f>Y5*Source!I29</f>
        <v>9.5999999999999992E-3</v>
      </c>
      <c r="CY5">
        <f>AB5</f>
        <v>89.99</v>
      </c>
      <c r="CZ5">
        <f>AF5</f>
        <v>89.99</v>
      </c>
      <c r="DA5">
        <f>AJ5</f>
        <v>1</v>
      </c>
      <c r="DB5">
        <f t="shared" si="0"/>
        <v>1.8</v>
      </c>
      <c r="DC5">
        <f t="shared" si="1"/>
        <v>0.2</v>
      </c>
    </row>
    <row r="6" spans="1:107" x14ac:dyDescent="0.2">
      <c r="A6">
        <f>ROW(Source!A29)</f>
        <v>29</v>
      </c>
      <c r="B6">
        <v>224527337</v>
      </c>
      <c r="C6">
        <v>224527561</v>
      </c>
      <c r="D6">
        <v>223058015</v>
      </c>
      <c r="E6">
        <v>1</v>
      </c>
      <c r="F6">
        <v>1</v>
      </c>
      <c r="G6">
        <v>1</v>
      </c>
      <c r="H6">
        <v>2</v>
      </c>
      <c r="I6" t="s">
        <v>613</v>
      </c>
      <c r="J6" t="s">
        <v>614</v>
      </c>
      <c r="K6" t="s">
        <v>615</v>
      </c>
      <c r="L6">
        <v>1367</v>
      </c>
      <c r="N6">
        <v>1011</v>
      </c>
      <c r="O6" t="s">
        <v>612</v>
      </c>
      <c r="P6" t="s">
        <v>612</v>
      </c>
      <c r="Q6">
        <v>1</v>
      </c>
      <c r="W6">
        <v>0</v>
      </c>
      <c r="X6">
        <v>1232162608</v>
      </c>
      <c r="Y6">
        <v>0.22</v>
      </c>
      <c r="AA6">
        <v>0</v>
      </c>
      <c r="AB6">
        <v>31.26</v>
      </c>
      <c r="AC6">
        <v>13.5</v>
      </c>
      <c r="AD6">
        <v>0</v>
      </c>
      <c r="AE6">
        <v>0</v>
      </c>
      <c r="AF6">
        <v>31.26</v>
      </c>
      <c r="AG6">
        <v>13.5</v>
      </c>
      <c r="AH6">
        <v>0</v>
      </c>
      <c r="AI6">
        <v>1</v>
      </c>
      <c r="AJ6">
        <v>1</v>
      </c>
      <c r="AK6">
        <v>1</v>
      </c>
      <c r="AL6">
        <v>1</v>
      </c>
      <c r="AN6">
        <v>0</v>
      </c>
      <c r="AO6">
        <v>1</v>
      </c>
      <c r="AP6">
        <v>0</v>
      </c>
      <c r="AQ6">
        <v>0</v>
      </c>
      <c r="AR6">
        <v>0</v>
      </c>
      <c r="AS6" t="s">
        <v>2</v>
      </c>
      <c r="AT6">
        <v>0.22</v>
      </c>
      <c r="AU6" t="s">
        <v>2</v>
      </c>
      <c r="AV6">
        <v>0</v>
      </c>
      <c r="AW6">
        <v>2</v>
      </c>
      <c r="AX6">
        <v>224527565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X6">
        <f>Y6*Source!I29</f>
        <v>0.1056</v>
      </c>
      <c r="CY6">
        <f>AB6</f>
        <v>31.26</v>
      </c>
      <c r="CZ6">
        <f>AF6</f>
        <v>31.26</v>
      </c>
      <c r="DA6">
        <f>AJ6</f>
        <v>1</v>
      </c>
      <c r="DB6">
        <f t="shared" si="0"/>
        <v>6.88</v>
      </c>
      <c r="DC6">
        <f t="shared" si="1"/>
        <v>2.97</v>
      </c>
    </row>
    <row r="7" spans="1:107" x14ac:dyDescent="0.2">
      <c r="A7">
        <f>ROW(Source!A29)</f>
        <v>29</v>
      </c>
      <c r="B7">
        <v>224527337</v>
      </c>
      <c r="C7">
        <v>224527561</v>
      </c>
      <c r="D7">
        <v>223058138</v>
      </c>
      <c r="E7">
        <v>1</v>
      </c>
      <c r="F7">
        <v>1</v>
      </c>
      <c r="G7">
        <v>1</v>
      </c>
      <c r="H7">
        <v>2</v>
      </c>
      <c r="I7" t="s">
        <v>616</v>
      </c>
      <c r="J7" t="s">
        <v>617</v>
      </c>
      <c r="K7" t="s">
        <v>618</v>
      </c>
      <c r="L7">
        <v>1367</v>
      </c>
      <c r="N7">
        <v>1011</v>
      </c>
      <c r="O7" t="s">
        <v>612</v>
      </c>
      <c r="P7" t="s">
        <v>612</v>
      </c>
      <c r="Q7">
        <v>1</v>
      </c>
      <c r="W7">
        <v>0</v>
      </c>
      <c r="X7">
        <v>1385328552</v>
      </c>
      <c r="Y7">
        <v>0.75</v>
      </c>
      <c r="AA7">
        <v>0</v>
      </c>
      <c r="AB7">
        <v>12.39</v>
      </c>
      <c r="AC7">
        <v>10.06</v>
      </c>
      <c r="AD7">
        <v>0</v>
      </c>
      <c r="AE7">
        <v>0</v>
      </c>
      <c r="AF7">
        <v>12.39</v>
      </c>
      <c r="AG7">
        <v>10.06</v>
      </c>
      <c r="AH7">
        <v>0</v>
      </c>
      <c r="AI7">
        <v>1</v>
      </c>
      <c r="AJ7">
        <v>1</v>
      </c>
      <c r="AK7">
        <v>1</v>
      </c>
      <c r="AL7">
        <v>1</v>
      </c>
      <c r="AN7">
        <v>0</v>
      </c>
      <c r="AO7">
        <v>1</v>
      </c>
      <c r="AP7">
        <v>0</v>
      </c>
      <c r="AQ7">
        <v>0</v>
      </c>
      <c r="AR7">
        <v>0</v>
      </c>
      <c r="AS7" t="s">
        <v>2</v>
      </c>
      <c r="AT7">
        <v>0.75</v>
      </c>
      <c r="AU7" t="s">
        <v>2</v>
      </c>
      <c r="AV7">
        <v>0</v>
      </c>
      <c r="AW7">
        <v>2</v>
      </c>
      <c r="AX7">
        <v>224527566</v>
      </c>
      <c r="AY7">
        <v>1</v>
      </c>
      <c r="AZ7">
        <v>0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X7">
        <f>Y7*Source!I29</f>
        <v>0.36</v>
      </c>
      <c r="CY7">
        <f>AB7</f>
        <v>12.39</v>
      </c>
      <c r="CZ7">
        <f>AF7</f>
        <v>12.39</v>
      </c>
      <c r="DA7">
        <f>AJ7</f>
        <v>1</v>
      </c>
      <c r="DB7">
        <f t="shared" si="0"/>
        <v>9.2899999999999991</v>
      </c>
      <c r="DC7">
        <f t="shared" si="1"/>
        <v>7.55</v>
      </c>
    </row>
    <row r="8" spans="1:107" x14ac:dyDescent="0.2">
      <c r="A8">
        <f>ROW(Source!A29)</f>
        <v>29</v>
      </c>
      <c r="B8">
        <v>224527337</v>
      </c>
      <c r="C8">
        <v>224527561</v>
      </c>
      <c r="D8">
        <v>222908451</v>
      </c>
      <c r="E8">
        <v>1</v>
      </c>
      <c r="F8">
        <v>1</v>
      </c>
      <c r="G8">
        <v>1</v>
      </c>
      <c r="H8">
        <v>3</v>
      </c>
      <c r="I8" t="s">
        <v>619</v>
      </c>
      <c r="J8" t="s">
        <v>620</v>
      </c>
      <c r="K8" t="s">
        <v>621</v>
      </c>
      <c r="L8">
        <v>1339</v>
      </c>
      <c r="N8">
        <v>1007</v>
      </c>
      <c r="O8" t="s">
        <v>215</v>
      </c>
      <c r="P8" t="s">
        <v>215</v>
      </c>
      <c r="Q8">
        <v>1</v>
      </c>
      <c r="W8">
        <v>0</v>
      </c>
      <c r="X8">
        <v>-143474561</v>
      </c>
      <c r="Y8">
        <v>0.54300000000000004</v>
      </c>
      <c r="AA8">
        <v>2.44</v>
      </c>
      <c r="AB8">
        <v>0</v>
      </c>
      <c r="AC8">
        <v>0</v>
      </c>
      <c r="AD8">
        <v>0</v>
      </c>
      <c r="AE8">
        <v>2.44</v>
      </c>
      <c r="AF8">
        <v>0</v>
      </c>
      <c r="AG8">
        <v>0</v>
      </c>
      <c r="AH8">
        <v>0</v>
      </c>
      <c r="AI8">
        <v>1</v>
      </c>
      <c r="AJ8">
        <v>1</v>
      </c>
      <c r="AK8">
        <v>1</v>
      </c>
      <c r="AL8">
        <v>1</v>
      </c>
      <c r="AN8">
        <v>0</v>
      </c>
      <c r="AO8">
        <v>1</v>
      </c>
      <c r="AP8">
        <v>0</v>
      </c>
      <c r="AQ8">
        <v>0</v>
      </c>
      <c r="AR8">
        <v>0</v>
      </c>
      <c r="AS8" t="s">
        <v>2</v>
      </c>
      <c r="AT8">
        <v>0.54300000000000004</v>
      </c>
      <c r="AU8" t="s">
        <v>2</v>
      </c>
      <c r="AV8">
        <v>0</v>
      </c>
      <c r="AW8">
        <v>2</v>
      </c>
      <c r="AX8">
        <v>224527567</v>
      </c>
      <c r="AY8">
        <v>1</v>
      </c>
      <c r="AZ8">
        <v>0</v>
      </c>
      <c r="BA8">
        <v>8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X8">
        <f>Y8*Source!I29</f>
        <v>0.26063999999999998</v>
      </c>
      <c r="CY8">
        <f>AA8</f>
        <v>2.44</v>
      </c>
      <c r="CZ8">
        <f>AE8</f>
        <v>2.44</v>
      </c>
      <c r="DA8">
        <f>AI8</f>
        <v>1</v>
      </c>
      <c r="DB8">
        <f t="shared" si="0"/>
        <v>1.32</v>
      </c>
      <c r="DC8">
        <f t="shared" si="1"/>
        <v>0</v>
      </c>
    </row>
    <row r="9" spans="1:107" x14ac:dyDescent="0.2">
      <c r="A9">
        <f>ROW(Source!A32)</f>
        <v>32</v>
      </c>
      <c r="B9">
        <v>224527337</v>
      </c>
      <c r="C9">
        <v>224527650</v>
      </c>
      <c r="D9">
        <v>222895971</v>
      </c>
      <c r="E9">
        <v>70</v>
      </c>
      <c r="F9">
        <v>1</v>
      </c>
      <c r="G9">
        <v>1</v>
      </c>
      <c r="H9">
        <v>1</v>
      </c>
      <c r="I9" t="s">
        <v>622</v>
      </c>
      <c r="J9" t="s">
        <v>2</v>
      </c>
      <c r="K9" t="s">
        <v>623</v>
      </c>
      <c r="L9">
        <v>1191</v>
      </c>
      <c r="N9">
        <v>74472246</v>
      </c>
      <c r="O9" t="s">
        <v>600</v>
      </c>
      <c r="P9" t="s">
        <v>600</v>
      </c>
      <c r="Q9">
        <v>1</v>
      </c>
      <c r="W9">
        <v>0</v>
      </c>
      <c r="X9">
        <v>-112797078</v>
      </c>
      <c r="Y9">
        <v>27.720000000000002</v>
      </c>
      <c r="AA9">
        <v>0</v>
      </c>
      <c r="AB9">
        <v>0</v>
      </c>
      <c r="AC9">
        <v>0</v>
      </c>
      <c r="AD9">
        <v>8.9700000000000006</v>
      </c>
      <c r="AE9">
        <v>0</v>
      </c>
      <c r="AF9">
        <v>0</v>
      </c>
      <c r="AG9">
        <v>0</v>
      </c>
      <c r="AH9">
        <v>8.9700000000000006</v>
      </c>
      <c r="AI9">
        <v>1</v>
      </c>
      <c r="AJ9">
        <v>1</v>
      </c>
      <c r="AK9">
        <v>1</v>
      </c>
      <c r="AL9">
        <v>1</v>
      </c>
      <c r="AN9">
        <v>0</v>
      </c>
      <c r="AO9">
        <v>1</v>
      </c>
      <c r="AP9">
        <v>1</v>
      </c>
      <c r="AQ9">
        <v>0</v>
      </c>
      <c r="AR9">
        <v>0</v>
      </c>
      <c r="AS9" t="s">
        <v>2</v>
      </c>
      <c r="AT9">
        <v>23.1</v>
      </c>
      <c r="AU9" t="s">
        <v>46</v>
      </c>
      <c r="AV9">
        <v>1</v>
      </c>
      <c r="AW9">
        <v>2</v>
      </c>
      <c r="AX9">
        <v>224527698</v>
      </c>
      <c r="AY9">
        <v>1</v>
      </c>
      <c r="AZ9">
        <v>0</v>
      </c>
      <c r="BA9">
        <v>11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X9">
        <f>Y9*Source!I32</f>
        <v>13.3056</v>
      </c>
      <c r="CY9">
        <f>AD9</f>
        <v>8.9700000000000006</v>
      </c>
      <c r="CZ9">
        <f>AH9</f>
        <v>8.9700000000000006</v>
      </c>
      <c r="DA9">
        <f>AL9</f>
        <v>1</v>
      </c>
      <c r="DB9">
        <f>ROUND((ROUND(AT9*CZ9,2)*1.2),2)</f>
        <v>248.65</v>
      </c>
      <c r="DC9">
        <f>ROUND((ROUND(AT9*AG9,2)*1.2),2)</f>
        <v>0</v>
      </c>
    </row>
    <row r="10" spans="1:107" x14ac:dyDescent="0.2">
      <c r="A10">
        <f>ROW(Source!A32)</f>
        <v>32</v>
      </c>
      <c r="B10">
        <v>224527337</v>
      </c>
      <c r="C10">
        <v>224527650</v>
      </c>
      <c r="D10">
        <v>222896153</v>
      </c>
      <c r="E10">
        <v>70</v>
      </c>
      <c r="F10">
        <v>1</v>
      </c>
      <c r="G10">
        <v>1</v>
      </c>
      <c r="H10">
        <v>1</v>
      </c>
      <c r="I10" t="s">
        <v>607</v>
      </c>
      <c r="J10" t="s">
        <v>2</v>
      </c>
      <c r="K10" t="s">
        <v>608</v>
      </c>
      <c r="L10">
        <v>1191</v>
      </c>
      <c r="N10">
        <v>74472246</v>
      </c>
      <c r="O10" t="s">
        <v>600</v>
      </c>
      <c r="P10" t="s">
        <v>600</v>
      </c>
      <c r="Q10">
        <v>1</v>
      </c>
      <c r="W10">
        <v>0</v>
      </c>
      <c r="X10">
        <v>-1417349443</v>
      </c>
      <c r="Y10">
        <v>0.13200000000000001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1</v>
      </c>
      <c r="AJ10">
        <v>1</v>
      </c>
      <c r="AK10">
        <v>1</v>
      </c>
      <c r="AL10">
        <v>1</v>
      </c>
      <c r="AN10">
        <v>0</v>
      </c>
      <c r="AO10">
        <v>1</v>
      </c>
      <c r="AP10">
        <v>1</v>
      </c>
      <c r="AQ10">
        <v>0</v>
      </c>
      <c r="AR10">
        <v>0</v>
      </c>
      <c r="AS10" t="s">
        <v>2</v>
      </c>
      <c r="AT10">
        <v>0.11</v>
      </c>
      <c r="AU10" t="s">
        <v>46</v>
      </c>
      <c r="AV10">
        <v>2</v>
      </c>
      <c r="AW10">
        <v>2</v>
      </c>
      <c r="AX10">
        <v>224527699</v>
      </c>
      <c r="AY10">
        <v>1</v>
      </c>
      <c r="AZ10">
        <v>0</v>
      </c>
      <c r="BA10">
        <v>12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X10">
        <f>Y10*Source!I32</f>
        <v>6.336E-2</v>
      </c>
      <c r="CY10">
        <f>AD10</f>
        <v>0</v>
      </c>
      <c r="CZ10">
        <f>AH10</f>
        <v>0</v>
      </c>
      <c r="DA10">
        <f>AL10</f>
        <v>1</v>
      </c>
      <c r="DB10">
        <f>ROUND((ROUND(AT10*CZ10,2)*1.2),2)</f>
        <v>0</v>
      </c>
      <c r="DC10">
        <f>ROUND((ROUND(AT10*AG10,2)*1.2),2)</f>
        <v>0</v>
      </c>
    </row>
    <row r="11" spans="1:107" x14ac:dyDescent="0.2">
      <c r="A11">
        <f>ROW(Source!A32)</f>
        <v>32</v>
      </c>
      <c r="B11">
        <v>224527337</v>
      </c>
      <c r="C11">
        <v>224527650</v>
      </c>
      <c r="D11">
        <v>223058015</v>
      </c>
      <c r="E11">
        <v>1</v>
      </c>
      <c r="F11">
        <v>1</v>
      </c>
      <c r="G11">
        <v>1</v>
      </c>
      <c r="H11">
        <v>2</v>
      </c>
      <c r="I11" t="s">
        <v>613</v>
      </c>
      <c r="J11" t="s">
        <v>614</v>
      </c>
      <c r="K11" t="s">
        <v>615</v>
      </c>
      <c r="L11">
        <v>1367</v>
      </c>
      <c r="N11">
        <v>1011</v>
      </c>
      <c r="O11" t="s">
        <v>612</v>
      </c>
      <c r="P11" t="s">
        <v>612</v>
      </c>
      <c r="Q11">
        <v>1</v>
      </c>
      <c r="W11">
        <v>0</v>
      </c>
      <c r="X11">
        <v>1232162608</v>
      </c>
      <c r="Y11">
        <v>1.2E-2</v>
      </c>
      <c r="AA11">
        <v>0</v>
      </c>
      <c r="AB11">
        <v>31.26</v>
      </c>
      <c r="AC11">
        <v>13.5</v>
      </c>
      <c r="AD11">
        <v>0</v>
      </c>
      <c r="AE11">
        <v>0</v>
      </c>
      <c r="AF11">
        <v>31.26</v>
      </c>
      <c r="AG11">
        <v>13.5</v>
      </c>
      <c r="AH11">
        <v>0</v>
      </c>
      <c r="AI11">
        <v>1</v>
      </c>
      <c r="AJ11">
        <v>1</v>
      </c>
      <c r="AK11">
        <v>1</v>
      </c>
      <c r="AL11">
        <v>1</v>
      </c>
      <c r="AN11">
        <v>0</v>
      </c>
      <c r="AO11">
        <v>1</v>
      </c>
      <c r="AP11">
        <v>1</v>
      </c>
      <c r="AQ11">
        <v>0</v>
      </c>
      <c r="AR11">
        <v>0</v>
      </c>
      <c r="AS11" t="s">
        <v>2</v>
      </c>
      <c r="AT11">
        <v>0.01</v>
      </c>
      <c r="AU11" t="s">
        <v>46</v>
      </c>
      <c r="AV11">
        <v>0</v>
      </c>
      <c r="AW11">
        <v>2</v>
      </c>
      <c r="AX11">
        <v>224527700</v>
      </c>
      <c r="AY11">
        <v>1</v>
      </c>
      <c r="AZ11">
        <v>0</v>
      </c>
      <c r="BA11">
        <v>13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X11">
        <f>Y11*Source!I32</f>
        <v>5.7599999999999995E-3</v>
      </c>
      <c r="CY11">
        <f>AB11</f>
        <v>31.26</v>
      </c>
      <c r="CZ11">
        <f>AF11</f>
        <v>31.26</v>
      </c>
      <c r="DA11">
        <f>AJ11</f>
        <v>1</v>
      </c>
      <c r="DB11">
        <f>ROUND((ROUND(AT11*CZ11,2)*1.2),2)</f>
        <v>0.37</v>
      </c>
      <c r="DC11">
        <f>ROUND((ROUND(AT11*AG11,2)*1.2),2)</f>
        <v>0.17</v>
      </c>
    </row>
    <row r="12" spans="1:107" x14ac:dyDescent="0.2">
      <c r="A12">
        <f>ROW(Source!A32)</f>
        <v>32</v>
      </c>
      <c r="B12">
        <v>224527337</v>
      </c>
      <c r="C12">
        <v>224527650</v>
      </c>
      <c r="D12">
        <v>223058751</v>
      </c>
      <c r="E12">
        <v>1</v>
      </c>
      <c r="F12">
        <v>1</v>
      </c>
      <c r="G12">
        <v>1</v>
      </c>
      <c r="H12">
        <v>2</v>
      </c>
      <c r="I12" t="s">
        <v>624</v>
      </c>
      <c r="J12" t="s">
        <v>625</v>
      </c>
      <c r="K12" t="s">
        <v>626</v>
      </c>
      <c r="L12">
        <v>1367</v>
      </c>
      <c r="N12">
        <v>1011</v>
      </c>
      <c r="O12" t="s">
        <v>612</v>
      </c>
      <c r="P12" t="s">
        <v>612</v>
      </c>
      <c r="Q12">
        <v>1</v>
      </c>
      <c r="W12">
        <v>0</v>
      </c>
      <c r="X12">
        <v>509054691</v>
      </c>
      <c r="Y12">
        <v>0.12</v>
      </c>
      <c r="AA12">
        <v>0</v>
      </c>
      <c r="AB12">
        <v>65.709999999999994</v>
      </c>
      <c r="AC12">
        <v>11.6</v>
      </c>
      <c r="AD12">
        <v>0</v>
      </c>
      <c r="AE12">
        <v>0</v>
      </c>
      <c r="AF12">
        <v>65.709999999999994</v>
      </c>
      <c r="AG12">
        <v>11.6</v>
      </c>
      <c r="AH12">
        <v>0</v>
      </c>
      <c r="AI12">
        <v>1</v>
      </c>
      <c r="AJ12">
        <v>1</v>
      </c>
      <c r="AK12">
        <v>1</v>
      </c>
      <c r="AL12">
        <v>1</v>
      </c>
      <c r="AN12">
        <v>0</v>
      </c>
      <c r="AO12">
        <v>1</v>
      </c>
      <c r="AP12">
        <v>1</v>
      </c>
      <c r="AQ12">
        <v>0</v>
      </c>
      <c r="AR12">
        <v>0</v>
      </c>
      <c r="AS12" t="s">
        <v>2</v>
      </c>
      <c r="AT12">
        <v>0.1</v>
      </c>
      <c r="AU12" t="s">
        <v>46</v>
      </c>
      <c r="AV12">
        <v>0</v>
      </c>
      <c r="AW12">
        <v>2</v>
      </c>
      <c r="AX12">
        <v>224527701</v>
      </c>
      <c r="AY12">
        <v>1</v>
      </c>
      <c r="AZ12">
        <v>0</v>
      </c>
      <c r="BA12">
        <v>14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X12">
        <f>Y12*Source!I32</f>
        <v>5.7599999999999998E-2</v>
      </c>
      <c r="CY12">
        <f>AB12</f>
        <v>65.709999999999994</v>
      </c>
      <c r="CZ12">
        <f>AF12</f>
        <v>65.709999999999994</v>
      </c>
      <c r="DA12">
        <f>AJ12</f>
        <v>1</v>
      </c>
      <c r="DB12">
        <f>ROUND((ROUND(AT12*CZ12,2)*1.2),2)</f>
        <v>7.88</v>
      </c>
      <c r="DC12">
        <f>ROUND((ROUND(AT12*AG12,2)*1.2),2)</f>
        <v>1.39</v>
      </c>
    </row>
    <row r="13" spans="1:107" x14ac:dyDescent="0.2">
      <c r="A13">
        <f>ROW(Source!A32)</f>
        <v>32</v>
      </c>
      <c r="B13">
        <v>224527337</v>
      </c>
      <c r="C13">
        <v>224527650</v>
      </c>
      <c r="D13">
        <v>222911579</v>
      </c>
      <c r="E13">
        <v>1</v>
      </c>
      <c r="F13">
        <v>1</v>
      </c>
      <c r="G13">
        <v>1</v>
      </c>
      <c r="H13">
        <v>3</v>
      </c>
      <c r="I13" t="s">
        <v>627</v>
      </c>
      <c r="J13" t="s">
        <v>628</v>
      </c>
      <c r="K13" t="s">
        <v>629</v>
      </c>
      <c r="L13">
        <v>1327</v>
      </c>
      <c r="N13">
        <v>1005</v>
      </c>
      <c r="O13" t="s">
        <v>73</v>
      </c>
      <c r="P13" t="s">
        <v>73</v>
      </c>
      <c r="Q13">
        <v>1</v>
      </c>
      <c r="W13">
        <v>0</v>
      </c>
      <c r="X13">
        <v>105551837</v>
      </c>
      <c r="Y13">
        <v>0.84</v>
      </c>
      <c r="AA13">
        <v>72.319999999999993</v>
      </c>
      <c r="AB13">
        <v>0</v>
      </c>
      <c r="AC13">
        <v>0</v>
      </c>
      <c r="AD13">
        <v>0</v>
      </c>
      <c r="AE13">
        <v>72.319999999999993</v>
      </c>
      <c r="AF13">
        <v>0</v>
      </c>
      <c r="AG13">
        <v>0</v>
      </c>
      <c r="AH13">
        <v>0</v>
      </c>
      <c r="AI13">
        <v>1</v>
      </c>
      <c r="AJ13">
        <v>1</v>
      </c>
      <c r="AK13">
        <v>1</v>
      </c>
      <c r="AL13">
        <v>1</v>
      </c>
      <c r="AN13">
        <v>0</v>
      </c>
      <c r="AO13">
        <v>1</v>
      </c>
      <c r="AP13">
        <v>0</v>
      </c>
      <c r="AQ13">
        <v>0</v>
      </c>
      <c r="AR13">
        <v>0</v>
      </c>
      <c r="AS13" t="s">
        <v>2</v>
      </c>
      <c r="AT13">
        <v>0.84</v>
      </c>
      <c r="AU13" t="s">
        <v>2</v>
      </c>
      <c r="AV13">
        <v>0</v>
      </c>
      <c r="AW13">
        <v>2</v>
      </c>
      <c r="AX13">
        <v>224527702</v>
      </c>
      <c r="AY13">
        <v>1</v>
      </c>
      <c r="AZ13">
        <v>0</v>
      </c>
      <c r="BA13">
        <v>15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X13">
        <f>Y13*Source!I32</f>
        <v>0.40319999999999995</v>
      </c>
      <c r="CY13">
        <f>AA13</f>
        <v>72.319999999999993</v>
      </c>
      <c r="CZ13">
        <f>AE13</f>
        <v>72.319999999999993</v>
      </c>
      <c r="DA13">
        <f>AI13</f>
        <v>1</v>
      </c>
      <c r="DB13">
        <f t="shared" ref="DB13:DB18" si="2">ROUND(ROUND(AT13*CZ13,2),2)</f>
        <v>60.75</v>
      </c>
      <c r="DC13">
        <f t="shared" ref="DC13:DC18" si="3">ROUND(ROUND(AT13*AG13,2),2)</f>
        <v>0</v>
      </c>
    </row>
    <row r="14" spans="1:107" x14ac:dyDescent="0.2">
      <c r="A14">
        <f>ROW(Source!A32)</f>
        <v>32</v>
      </c>
      <c r="B14">
        <v>224527337</v>
      </c>
      <c r="C14">
        <v>224527650</v>
      </c>
      <c r="D14">
        <v>222911928</v>
      </c>
      <c r="E14">
        <v>1</v>
      </c>
      <c r="F14">
        <v>1</v>
      </c>
      <c r="G14">
        <v>1</v>
      </c>
      <c r="H14">
        <v>3</v>
      </c>
      <c r="I14" t="s">
        <v>630</v>
      </c>
      <c r="J14" t="s">
        <v>631</v>
      </c>
      <c r="K14" t="s">
        <v>632</v>
      </c>
      <c r="L14">
        <v>1346</v>
      </c>
      <c r="N14">
        <v>1009</v>
      </c>
      <c r="O14" t="s">
        <v>33</v>
      </c>
      <c r="P14" t="s">
        <v>33</v>
      </c>
      <c r="Q14">
        <v>1</v>
      </c>
      <c r="W14">
        <v>0</v>
      </c>
      <c r="X14">
        <v>1052716416</v>
      </c>
      <c r="Y14">
        <v>0.31</v>
      </c>
      <c r="AA14">
        <v>1.82</v>
      </c>
      <c r="AB14">
        <v>0</v>
      </c>
      <c r="AC14">
        <v>0</v>
      </c>
      <c r="AD14">
        <v>0</v>
      </c>
      <c r="AE14">
        <v>1.82</v>
      </c>
      <c r="AF14">
        <v>0</v>
      </c>
      <c r="AG14">
        <v>0</v>
      </c>
      <c r="AH14">
        <v>0</v>
      </c>
      <c r="AI14">
        <v>1</v>
      </c>
      <c r="AJ14">
        <v>1</v>
      </c>
      <c r="AK14">
        <v>1</v>
      </c>
      <c r="AL14">
        <v>1</v>
      </c>
      <c r="AN14">
        <v>0</v>
      </c>
      <c r="AO14">
        <v>1</v>
      </c>
      <c r="AP14">
        <v>0</v>
      </c>
      <c r="AQ14">
        <v>0</v>
      </c>
      <c r="AR14">
        <v>0</v>
      </c>
      <c r="AS14" t="s">
        <v>2</v>
      </c>
      <c r="AT14">
        <v>0.31</v>
      </c>
      <c r="AU14" t="s">
        <v>2</v>
      </c>
      <c r="AV14">
        <v>0</v>
      </c>
      <c r="AW14">
        <v>2</v>
      </c>
      <c r="AX14">
        <v>224527703</v>
      </c>
      <c r="AY14">
        <v>1</v>
      </c>
      <c r="AZ14">
        <v>0</v>
      </c>
      <c r="BA14">
        <v>16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X14">
        <f>Y14*Source!I32</f>
        <v>0.14879999999999999</v>
      </c>
      <c r="CY14">
        <f>AA14</f>
        <v>1.82</v>
      </c>
      <c r="CZ14">
        <f>AE14</f>
        <v>1.82</v>
      </c>
      <c r="DA14">
        <f>AI14</f>
        <v>1</v>
      </c>
      <c r="DB14">
        <f t="shared" si="2"/>
        <v>0.56000000000000005</v>
      </c>
      <c r="DC14">
        <f t="shared" si="3"/>
        <v>0</v>
      </c>
    </row>
    <row r="15" spans="1:107" x14ac:dyDescent="0.2">
      <c r="A15">
        <f>ROW(Source!A32)</f>
        <v>32</v>
      </c>
      <c r="B15">
        <v>224527337</v>
      </c>
      <c r="C15">
        <v>224527650</v>
      </c>
      <c r="D15">
        <v>222940670</v>
      </c>
      <c r="E15">
        <v>1</v>
      </c>
      <c r="F15">
        <v>1</v>
      </c>
      <c r="G15">
        <v>1</v>
      </c>
      <c r="H15">
        <v>3</v>
      </c>
      <c r="I15" t="s">
        <v>633</v>
      </c>
      <c r="J15" t="s">
        <v>634</v>
      </c>
      <c r="K15" t="s">
        <v>635</v>
      </c>
      <c r="L15">
        <v>1348</v>
      </c>
      <c r="N15">
        <v>1009</v>
      </c>
      <c r="O15" t="s">
        <v>18</v>
      </c>
      <c r="P15" t="s">
        <v>18</v>
      </c>
      <c r="Q15">
        <v>1000</v>
      </c>
      <c r="W15">
        <v>0</v>
      </c>
      <c r="X15">
        <v>-1516654830</v>
      </c>
      <c r="Y15">
        <v>5.0000000000000001E-3</v>
      </c>
      <c r="AA15">
        <v>4294</v>
      </c>
      <c r="AB15">
        <v>0</v>
      </c>
      <c r="AC15">
        <v>0</v>
      </c>
      <c r="AD15">
        <v>0</v>
      </c>
      <c r="AE15">
        <v>4294</v>
      </c>
      <c r="AF15">
        <v>0</v>
      </c>
      <c r="AG15">
        <v>0</v>
      </c>
      <c r="AH15">
        <v>0</v>
      </c>
      <c r="AI15">
        <v>1</v>
      </c>
      <c r="AJ15">
        <v>1</v>
      </c>
      <c r="AK15">
        <v>1</v>
      </c>
      <c r="AL15">
        <v>1</v>
      </c>
      <c r="AN15">
        <v>0</v>
      </c>
      <c r="AO15">
        <v>1</v>
      </c>
      <c r="AP15">
        <v>0</v>
      </c>
      <c r="AQ15">
        <v>0</v>
      </c>
      <c r="AR15">
        <v>0</v>
      </c>
      <c r="AS15" t="s">
        <v>2</v>
      </c>
      <c r="AT15">
        <v>5.0000000000000001E-3</v>
      </c>
      <c r="AU15" t="s">
        <v>2</v>
      </c>
      <c r="AV15">
        <v>0</v>
      </c>
      <c r="AW15">
        <v>2</v>
      </c>
      <c r="AX15">
        <v>224527705</v>
      </c>
      <c r="AY15">
        <v>1</v>
      </c>
      <c r="AZ15">
        <v>0</v>
      </c>
      <c r="BA15">
        <v>18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X15">
        <f>Y15*Source!I32</f>
        <v>2.3999999999999998E-3</v>
      </c>
      <c r="CY15">
        <f>AA15</f>
        <v>4294</v>
      </c>
      <c r="CZ15">
        <f>AE15</f>
        <v>4294</v>
      </c>
      <c r="DA15">
        <f>AI15</f>
        <v>1</v>
      </c>
      <c r="DB15">
        <f t="shared" si="2"/>
        <v>21.47</v>
      </c>
      <c r="DC15">
        <f t="shared" si="3"/>
        <v>0</v>
      </c>
    </row>
    <row r="16" spans="1:107" x14ac:dyDescent="0.2">
      <c r="A16">
        <f>ROW(Source!A34)</f>
        <v>34</v>
      </c>
      <c r="B16">
        <v>224527337</v>
      </c>
      <c r="C16">
        <v>224527574</v>
      </c>
      <c r="D16">
        <v>222895929</v>
      </c>
      <c r="E16">
        <v>70</v>
      </c>
      <c r="F16">
        <v>1</v>
      </c>
      <c r="G16">
        <v>1</v>
      </c>
      <c r="H16">
        <v>1</v>
      </c>
      <c r="I16" t="s">
        <v>636</v>
      </c>
      <c r="J16" t="s">
        <v>2</v>
      </c>
      <c r="K16" t="s">
        <v>637</v>
      </c>
      <c r="L16">
        <v>1191</v>
      </c>
      <c r="N16">
        <v>74472246</v>
      </c>
      <c r="O16" t="s">
        <v>600</v>
      </c>
      <c r="P16" t="s">
        <v>600</v>
      </c>
      <c r="Q16">
        <v>1</v>
      </c>
      <c r="W16">
        <v>0</v>
      </c>
      <c r="X16">
        <v>2031828327</v>
      </c>
      <c r="Y16">
        <v>11.39</v>
      </c>
      <c r="AA16">
        <v>0</v>
      </c>
      <c r="AB16">
        <v>0</v>
      </c>
      <c r="AC16">
        <v>0</v>
      </c>
      <c r="AD16">
        <v>7.8</v>
      </c>
      <c r="AE16">
        <v>0</v>
      </c>
      <c r="AF16">
        <v>0</v>
      </c>
      <c r="AG16">
        <v>0</v>
      </c>
      <c r="AH16">
        <v>7.8</v>
      </c>
      <c r="AI16">
        <v>1</v>
      </c>
      <c r="AJ16">
        <v>1</v>
      </c>
      <c r="AK16">
        <v>1</v>
      </c>
      <c r="AL16">
        <v>1</v>
      </c>
      <c r="AN16">
        <v>0</v>
      </c>
      <c r="AO16">
        <v>1</v>
      </c>
      <c r="AP16">
        <v>0</v>
      </c>
      <c r="AQ16">
        <v>0</v>
      </c>
      <c r="AR16">
        <v>0</v>
      </c>
      <c r="AS16" t="s">
        <v>2</v>
      </c>
      <c r="AT16">
        <v>11.39</v>
      </c>
      <c r="AU16" t="s">
        <v>2</v>
      </c>
      <c r="AV16">
        <v>1</v>
      </c>
      <c r="AW16">
        <v>2</v>
      </c>
      <c r="AX16">
        <v>224527575</v>
      </c>
      <c r="AY16">
        <v>1</v>
      </c>
      <c r="AZ16">
        <v>0</v>
      </c>
      <c r="BA16">
        <v>19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X16">
        <f>Y16*Source!I34</f>
        <v>5.4672000000000001</v>
      </c>
      <c r="CY16">
        <f>AD16</f>
        <v>7.8</v>
      </c>
      <c r="CZ16">
        <f>AH16</f>
        <v>7.8</v>
      </c>
      <c r="DA16">
        <f>AL16</f>
        <v>1</v>
      </c>
      <c r="DB16">
        <f t="shared" si="2"/>
        <v>88.84</v>
      </c>
      <c r="DC16">
        <f t="shared" si="3"/>
        <v>0</v>
      </c>
    </row>
    <row r="17" spans="1:107" x14ac:dyDescent="0.2">
      <c r="A17">
        <f>ROW(Source!A34)</f>
        <v>34</v>
      </c>
      <c r="B17">
        <v>224527337</v>
      </c>
      <c r="C17">
        <v>224527574</v>
      </c>
      <c r="D17">
        <v>222896153</v>
      </c>
      <c r="E17">
        <v>70</v>
      </c>
      <c r="F17">
        <v>1</v>
      </c>
      <c r="G17">
        <v>1</v>
      </c>
      <c r="H17">
        <v>1</v>
      </c>
      <c r="I17" t="s">
        <v>607</v>
      </c>
      <c r="J17" t="s">
        <v>2</v>
      </c>
      <c r="K17" t="s">
        <v>608</v>
      </c>
      <c r="L17">
        <v>1191</v>
      </c>
      <c r="N17">
        <v>74472246</v>
      </c>
      <c r="O17" t="s">
        <v>600</v>
      </c>
      <c r="P17" t="s">
        <v>600</v>
      </c>
      <c r="Q17">
        <v>1</v>
      </c>
      <c r="W17">
        <v>0</v>
      </c>
      <c r="X17">
        <v>-1417349443</v>
      </c>
      <c r="Y17">
        <v>0.13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1</v>
      </c>
      <c r="AJ17">
        <v>1</v>
      </c>
      <c r="AK17">
        <v>1</v>
      </c>
      <c r="AL17">
        <v>1</v>
      </c>
      <c r="AN17">
        <v>0</v>
      </c>
      <c r="AO17">
        <v>1</v>
      </c>
      <c r="AP17">
        <v>0</v>
      </c>
      <c r="AQ17">
        <v>0</v>
      </c>
      <c r="AR17">
        <v>0</v>
      </c>
      <c r="AS17" t="s">
        <v>2</v>
      </c>
      <c r="AT17">
        <v>0.13</v>
      </c>
      <c r="AU17" t="s">
        <v>2</v>
      </c>
      <c r="AV17">
        <v>2</v>
      </c>
      <c r="AW17">
        <v>2</v>
      </c>
      <c r="AX17">
        <v>224527576</v>
      </c>
      <c r="AY17">
        <v>1</v>
      </c>
      <c r="AZ17">
        <v>0</v>
      </c>
      <c r="BA17">
        <v>20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X17">
        <f>Y17*Source!I34</f>
        <v>6.2399999999999997E-2</v>
      </c>
      <c r="CY17">
        <f>AD17</f>
        <v>0</v>
      </c>
      <c r="CZ17">
        <f>AH17</f>
        <v>0</v>
      </c>
      <c r="DA17">
        <f>AL17</f>
        <v>1</v>
      </c>
      <c r="DB17">
        <f t="shared" si="2"/>
        <v>0</v>
      </c>
      <c r="DC17">
        <f t="shared" si="3"/>
        <v>0</v>
      </c>
    </row>
    <row r="18" spans="1:107" x14ac:dyDescent="0.2">
      <c r="A18">
        <f>ROW(Source!A34)</f>
        <v>34</v>
      </c>
      <c r="B18">
        <v>224527337</v>
      </c>
      <c r="C18">
        <v>224527574</v>
      </c>
      <c r="D18">
        <v>223058015</v>
      </c>
      <c r="E18">
        <v>1</v>
      </c>
      <c r="F18">
        <v>1</v>
      </c>
      <c r="G18">
        <v>1</v>
      </c>
      <c r="H18">
        <v>2</v>
      </c>
      <c r="I18" t="s">
        <v>613</v>
      </c>
      <c r="J18" t="s">
        <v>614</v>
      </c>
      <c r="K18" t="s">
        <v>615</v>
      </c>
      <c r="L18">
        <v>1367</v>
      </c>
      <c r="N18">
        <v>1011</v>
      </c>
      <c r="O18" t="s">
        <v>612</v>
      </c>
      <c r="P18" t="s">
        <v>612</v>
      </c>
      <c r="Q18">
        <v>1</v>
      </c>
      <c r="W18">
        <v>0</v>
      </c>
      <c r="X18">
        <v>1232162608</v>
      </c>
      <c r="Y18">
        <v>0.13</v>
      </c>
      <c r="AA18">
        <v>0</v>
      </c>
      <c r="AB18">
        <v>31.26</v>
      </c>
      <c r="AC18">
        <v>13.5</v>
      </c>
      <c r="AD18">
        <v>0</v>
      </c>
      <c r="AE18">
        <v>0</v>
      </c>
      <c r="AF18">
        <v>31.26</v>
      </c>
      <c r="AG18">
        <v>13.5</v>
      </c>
      <c r="AH18">
        <v>0</v>
      </c>
      <c r="AI18">
        <v>1</v>
      </c>
      <c r="AJ18">
        <v>1</v>
      </c>
      <c r="AK18">
        <v>1</v>
      </c>
      <c r="AL18">
        <v>1</v>
      </c>
      <c r="AN18">
        <v>0</v>
      </c>
      <c r="AO18">
        <v>1</v>
      </c>
      <c r="AP18">
        <v>0</v>
      </c>
      <c r="AQ18">
        <v>0</v>
      </c>
      <c r="AR18">
        <v>0</v>
      </c>
      <c r="AS18" t="s">
        <v>2</v>
      </c>
      <c r="AT18">
        <v>0.13</v>
      </c>
      <c r="AU18" t="s">
        <v>2</v>
      </c>
      <c r="AV18">
        <v>0</v>
      </c>
      <c r="AW18">
        <v>2</v>
      </c>
      <c r="AX18">
        <v>224527577</v>
      </c>
      <c r="AY18">
        <v>1</v>
      </c>
      <c r="AZ18">
        <v>0</v>
      </c>
      <c r="BA18">
        <v>21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X18">
        <f>Y18*Source!I34</f>
        <v>6.2399999999999997E-2</v>
      </c>
      <c r="CY18">
        <f>AB18</f>
        <v>31.26</v>
      </c>
      <c r="CZ18">
        <f>AF18</f>
        <v>31.26</v>
      </c>
      <c r="DA18">
        <f>AJ18</f>
        <v>1</v>
      </c>
      <c r="DB18">
        <f t="shared" si="2"/>
        <v>4.0599999999999996</v>
      </c>
      <c r="DC18">
        <f t="shared" si="3"/>
        <v>1.76</v>
      </c>
    </row>
    <row r="19" spans="1:107" x14ac:dyDescent="0.2">
      <c r="A19">
        <f>ROW(Source!A35)</f>
        <v>35</v>
      </c>
      <c r="B19">
        <v>224527337</v>
      </c>
      <c r="C19">
        <v>224527580</v>
      </c>
      <c r="D19">
        <v>222895953</v>
      </c>
      <c r="E19">
        <v>70</v>
      </c>
      <c r="F19">
        <v>1</v>
      </c>
      <c r="G19">
        <v>1</v>
      </c>
      <c r="H19">
        <v>1</v>
      </c>
      <c r="I19" t="s">
        <v>638</v>
      </c>
      <c r="J19" t="s">
        <v>2</v>
      </c>
      <c r="K19" t="s">
        <v>639</v>
      </c>
      <c r="L19">
        <v>1191</v>
      </c>
      <c r="N19">
        <v>74472246</v>
      </c>
      <c r="O19" t="s">
        <v>600</v>
      </c>
      <c r="P19" t="s">
        <v>600</v>
      </c>
      <c r="Q19">
        <v>1</v>
      </c>
      <c r="W19">
        <v>0</v>
      </c>
      <c r="X19">
        <v>229328897</v>
      </c>
      <c r="Y19">
        <v>52.014959999999995</v>
      </c>
      <c r="AA19">
        <v>0</v>
      </c>
      <c r="AB19">
        <v>0</v>
      </c>
      <c r="AC19">
        <v>0</v>
      </c>
      <c r="AD19">
        <v>8.31</v>
      </c>
      <c r="AE19">
        <v>0</v>
      </c>
      <c r="AF19">
        <v>0</v>
      </c>
      <c r="AG19">
        <v>0</v>
      </c>
      <c r="AH19">
        <v>8.31</v>
      </c>
      <c r="AI19">
        <v>1</v>
      </c>
      <c r="AJ19">
        <v>1</v>
      </c>
      <c r="AK19">
        <v>1</v>
      </c>
      <c r="AL19">
        <v>1</v>
      </c>
      <c r="AN19">
        <v>0</v>
      </c>
      <c r="AO19">
        <v>1</v>
      </c>
      <c r="AP19">
        <v>1</v>
      </c>
      <c r="AQ19">
        <v>0</v>
      </c>
      <c r="AR19">
        <v>0</v>
      </c>
      <c r="AS19" t="s">
        <v>2</v>
      </c>
      <c r="AT19">
        <v>31.41</v>
      </c>
      <c r="AU19" t="s">
        <v>66</v>
      </c>
      <c r="AV19">
        <v>1</v>
      </c>
      <c r="AW19">
        <v>2</v>
      </c>
      <c r="AX19">
        <v>224527581</v>
      </c>
      <c r="AY19">
        <v>1</v>
      </c>
      <c r="AZ19">
        <v>0</v>
      </c>
      <c r="BA19">
        <v>23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X19">
        <f>Y19*Source!I35</f>
        <v>24.967180799999998</v>
      </c>
      <c r="CY19">
        <f>AD19</f>
        <v>8.31</v>
      </c>
      <c r="CZ19">
        <f>AH19</f>
        <v>8.31</v>
      </c>
      <c r="DA19">
        <f>AL19</f>
        <v>1</v>
      </c>
      <c r="DB19">
        <f>ROUND((((ROUND(AT19*CZ19,2)*1.2)*1.15)*1.2),2)</f>
        <v>432.25</v>
      </c>
      <c r="DC19">
        <f>ROUND((((ROUND(AT19*AG19,2)*1.2)*1.15)*1.2),2)</f>
        <v>0</v>
      </c>
    </row>
    <row r="20" spans="1:107" x14ac:dyDescent="0.2">
      <c r="A20">
        <f>ROW(Source!A35)</f>
        <v>35</v>
      </c>
      <c r="B20">
        <v>224527337</v>
      </c>
      <c r="C20">
        <v>224527580</v>
      </c>
      <c r="D20">
        <v>222896153</v>
      </c>
      <c r="E20">
        <v>70</v>
      </c>
      <c r="F20">
        <v>1</v>
      </c>
      <c r="G20">
        <v>1</v>
      </c>
      <c r="H20">
        <v>1</v>
      </c>
      <c r="I20" t="s">
        <v>607</v>
      </c>
      <c r="J20" t="s">
        <v>2</v>
      </c>
      <c r="K20" t="s">
        <v>608</v>
      </c>
      <c r="L20">
        <v>1191</v>
      </c>
      <c r="N20">
        <v>74472246</v>
      </c>
      <c r="O20" t="s">
        <v>600</v>
      </c>
      <c r="P20" t="s">
        <v>600</v>
      </c>
      <c r="Q20">
        <v>1</v>
      </c>
      <c r="W20">
        <v>0</v>
      </c>
      <c r="X20">
        <v>-1417349443</v>
      </c>
      <c r="Y20">
        <v>1.2299999999999998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1</v>
      </c>
      <c r="AJ20">
        <v>1</v>
      </c>
      <c r="AK20">
        <v>1</v>
      </c>
      <c r="AL20">
        <v>1</v>
      </c>
      <c r="AN20">
        <v>0</v>
      </c>
      <c r="AO20">
        <v>1</v>
      </c>
      <c r="AP20">
        <v>1</v>
      </c>
      <c r="AQ20">
        <v>0</v>
      </c>
      <c r="AR20">
        <v>0</v>
      </c>
      <c r="AS20" t="s">
        <v>2</v>
      </c>
      <c r="AT20">
        <v>0.82</v>
      </c>
      <c r="AU20" t="s">
        <v>65</v>
      </c>
      <c r="AV20">
        <v>2</v>
      </c>
      <c r="AW20">
        <v>2</v>
      </c>
      <c r="AX20">
        <v>224527582</v>
      </c>
      <c r="AY20">
        <v>1</v>
      </c>
      <c r="AZ20">
        <v>0</v>
      </c>
      <c r="BA20">
        <v>24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X20">
        <f>Y20*Source!I35</f>
        <v>0.59039999999999981</v>
      </c>
      <c r="CY20">
        <f>AD20</f>
        <v>0</v>
      </c>
      <c r="CZ20">
        <f>AH20</f>
        <v>0</v>
      </c>
      <c r="DA20">
        <f>AL20</f>
        <v>1</v>
      </c>
      <c r="DB20">
        <f>ROUND(((ROUND(AT20*CZ20,2)*1.25)*1.2),2)</f>
        <v>0</v>
      </c>
      <c r="DC20">
        <f>ROUND(((ROUND(AT20*AG20,2)*1.25)*1.2),2)</f>
        <v>0</v>
      </c>
    </row>
    <row r="21" spans="1:107" x14ac:dyDescent="0.2">
      <c r="A21">
        <f>ROW(Source!A35)</f>
        <v>35</v>
      </c>
      <c r="B21">
        <v>224527337</v>
      </c>
      <c r="C21">
        <v>224527580</v>
      </c>
      <c r="D21">
        <v>223058015</v>
      </c>
      <c r="E21">
        <v>1</v>
      </c>
      <c r="F21">
        <v>1</v>
      </c>
      <c r="G21">
        <v>1</v>
      </c>
      <c r="H21">
        <v>2</v>
      </c>
      <c r="I21" t="s">
        <v>613</v>
      </c>
      <c r="J21" t="s">
        <v>614</v>
      </c>
      <c r="K21" t="s">
        <v>615</v>
      </c>
      <c r="L21">
        <v>1367</v>
      </c>
      <c r="N21">
        <v>1011</v>
      </c>
      <c r="O21" t="s">
        <v>612</v>
      </c>
      <c r="P21" t="s">
        <v>612</v>
      </c>
      <c r="Q21">
        <v>1</v>
      </c>
      <c r="W21">
        <v>0</v>
      </c>
      <c r="X21">
        <v>1232162608</v>
      </c>
      <c r="Y21">
        <v>0.51</v>
      </c>
      <c r="AA21">
        <v>0</v>
      </c>
      <c r="AB21">
        <v>31.26</v>
      </c>
      <c r="AC21">
        <v>13.5</v>
      </c>
      <c r="AD21">
        <v>0</v>
      </c>
      <c r="AE21">
        <v>0</v>
      </c>
      <c r="AF21">
        <v>31.26</v>
      </c>
      <c r="AG21">
        <v>13.5</v>
      </c>
      <c r="AH21">
        <v>0</v>
      </c>
      <c r="AI21">
        <v>1</v>
      </c>
      <c r="AJ21">
        <v>1</v>
      </c>
      <c r="AK21">
        <v>1</v>
      </c>
      <c r="AL21">
        <v>1</v>
      </c>
      <c r="AN21">
        <v>0</v>
      </c>
      <c r="AO21">
        <v>1</v>
      </c>
      <c r="AP21">
        <v>1</v>
      </c>
      <c r="AQ21">
        <v>0</v>
      </c>
      <c r="AR21">
        <v>0</v>
      </c>
      <c r="AS21" t="s">
        <v>2</v>
      </c>
      <c r="AT21">
        <v>0.34</v>
      </c>
      <c r="AU21" t="s">
        <v>65</v>
      </c>
      <c r="AV21">
        <v>0</v>
      </c>
      <c r="AW21">
        <v>2</v>
      </c>
      <c r="AX21">
        <v>224527583</v>
      </c>
      <c r="AY21">
        <v>1</v>
      </c>
      <c r="AZ21">
        <v>0</v>
      </c>
      <c r="BA21">
        <v>25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X21">
        <f>Y21*Source!I35</f>
        <v>0.24479999999999999</v>
      </c>
      <c r="CY21">
        <f>AB21</f>
        <v>31.26</v>
      </c>
      <c r="CZ21">
        <f>AF21</f>
        <v>31.26</v>
      </c>
      <c r="DA21">
        <f>AJ21</f>
        <v>1</v>
      </c>
      <c r="DB21">
        <f>ROUND(((ROUND(AT21*CZ21,2)*1.25)*1.2),2)</f>
        <v>15.95</v>
      </c>
      <c r="DC21">
        <f>ROUND(((ROUND(AT21*AG21,2)*1.25)*1.2),2)</f>
        <v>6.89</v>
      </c>
    </row>
    <row r="22" spans="1:107" x14ac:dyDescent="0.2">
      <c r="A22">
        <f>ROW(Source!A35)</f>
        <v>35</v>
      </c>
      <c r="B22">
        <v>224527337</v>
      </c>
      <c r="C22">
        <v>224527580</v>
      </c>
      <c r="D22">
        <v>223058751</v>
      </c>
      <c r="E22">
        <v>1</v>
      </c>
      <c r="F22">
        <v>1</v>
      </c>
      <c r="G22">
        <v>1</v>
      </c>
      <c r="H22">
        <v>2</v>
      </c>
      <c r="I22" t="s">
        <v>624</v>
      </c>
      <c r="J22" t="s">
        <v>625</v>
      </c>
      <c r="K22" t="s">
        <v>626</v>
      </c>
      <c r="L22">
        <v>1367</v>
      </c>
      <c r="N22">
        <v>1011</v>
      </c>
      <c r="O22" t="s">
        <v>612</v>
      </c>
      <c r="P22" t="s">
        <v>612</v>
      </c>
      <c r="Q22">
        <v>1</v>
      </c>
      <c r="W22">
        <v>0</v>
      </c>
      <c r="X22">
        <v>509054691</v>
      </c>
      <c r="Y22">
        <v>0.72</v>
      </c>
      <c r="AA22">
        <v>0</v>
      </c>
      <c r="AB22">
        <v>65.709999999999994</v>
      </c>
      <c r="AC22">
        <v>11.6</v>
      </c>
      <c r="AD22">
        <v>0</v>
      </c>
      <c r="AE22">
        <v>0</v>
      </c>
      <c r="AF22">
        <v>65.709999999999994</v>
      </c>
      <c r="AG22">
        <v>11.6</v>
      </c>
      <c r="AH22">
        <v>0</v>
      </c>
      <c r="AI22">
        <v>1</v>
      </c>
      <c r="AJ22">
        <v>1</v>
      </c>
      <c r="AK22">
        <v>1</v>
      </c>
      <c r="AL22">
        <v>1</v>
      </c>
      <c r="AN22">
        <v>0</v>
      </c>
      <c r="AO22">
        <v>1</v>
      </c>
      <c r="AP22">
        <v>1</v>
      </c>
      <c r="AQ22">
        <v>0</v>
      </c>
      <c r="AR22">
        <v>0</v>
      </c>
      <c r="AS22" t="s">
        <v>2</v>
      </c>
      <c r="AT22">
        <v>0.48</v>
      </c>
      <c r="AU22" t="s">
        <v>65</v>
      </c>
      <c r="AV22">
        <v>0</v>
      </c>
      <c r="AW22">
        <v>2</v>
      </c>
      <c r="AX22">
        <v>224527584</v>
      </c>
      <c r="AY22">
        <v>1</v>
      </c>
      <c r="AZ22">
        <v>0</v>
      </c>
      <c r="BA22">
        <v>26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X22">
        <f>Y22*Source!I35</f>
        <v>0.34559999999999996</v>
      </c>
      <c r="CY22">
        <f>AB22</f>
        <v>65.709999999999994</v>
      </c>
      <c r="CZ22">
        <f>AF22</f>
        <v>65.709999999999994</v>
      </c>
      <c r="DA22">
        <f>AJ22</f>
        <v>1</v>
      </c>
      <c r="DB22">
        <f>ROUND(((ROUND(AT22*CZ22,2)*1.25)*1.2),2)</f>
        <v>47.31</v>
      </c>
      <c r="DC22">
        <f>ROUND(((ROUND(AT22*AG22,2)*1.25)*1.2),2)</f>
        <v>8.36</v>
      </c>
    </row>
    <row r="23" spans="1:107" x14ac:dyDescent="0.2">
      <c r="A23">
        <f>ROW(Source!A35)</f>
        <v>35</v>
      </c>
      <c r="B23">
        <v>224527337</v>
      </c>
      <c r="C23">
        <v>224527580</v>
      </c>
      <c r="D23">
        <v>222908463</v>
      </c>
      <c r="E23">
        <v>1</v>
      </c>
      <c r="F23">
        <v>1</v>
      </c>
      <c r="G23">
        <v>1</v>
      </c>
      <c r="H23">
        <v>3</v>
      </c>
      <c r="I23" t="s">
        <v>640</v>
      </c>
      <c r="J23" t="s">
        <v>641</v>
      </c>
      <c r="K23" t="s">
        <v>642</v>
      </c>
      <c r="L23">
        <v>1383</v>
      </c>
      <c r="N23">
        <v>74472246</v>
      </c>
      <c r="O23" t="s">
        <v>643</v>
      </c>
      <c r="P23" t="s">
        <v>643</v>
      </c>
      <c r="Q23">
        <v>1</v>
      </c>
      <c r="W23">
        <v>0</v>
      </c>
      <c r="X23">
        <v>-180864722</v>
      </c>
      <c r="Y23">
        <v>2.65</v>
      </c>
      <c r="AA23">
        <v>0.4</v>
      </c>
      <c r="AB23">
        <v>0</v>
      </c>
      <c r="AC23">
        <v>0</v>
      </c>
      <c r="AD23">
        <v>0</v>
      </c>
      <c r="AE23">
        <v>0.4</v>
      </c>
      <c r="AF23">
        <v>0</v>
      </c>
      <c r="AG23">
        <v>0</v>
      </c>
      <c r="AH23">
        <v>0</v>
      </c>
      <c r="AI23">
        <v>1</v>
      </c>
      <c r="AJ23">
        <v>1</v>
      </c>
      <c r="AK23">
        <v>1</v>
      </c>
      <c r="AL23">
        <v>1</v>
      </c>
      <c r="AN23">
        <v>0</v>
      </c>
      <c r="AO23">
        <v>1</v>
      </c>
      <c r="AP23">
        <v>0</v>
      </c>
      <c r="AQ23">
        <v>0</v>
      </c>
      <c r="AR23">
        <v>0</v>
      </c>
      <c r="AS23" t="s">
        <v>2</v>
      </c>
      <c r="AT23">
        <v>2.65</v>
      </c>
      <c r="AU23" t="s">
        <v>2</v>
      </c>
      <c r="AV23">
        <v>0</v>
      </c>
      <c r="AW23">
        <v>2</v>
      </c>
      <c r="AX23">
        <v>224527586</v>
      </c>
      <c r="AY23">
        <v>1</v>
      </c>
      <c r="AZ23">
        <v>0</v>
      </c>
      <c r="BA23">
        <v>28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X23">
        <f>Y23*Source!I35</f>
        <v>1.272</v>
      </c>
      <c r="CY23">
        <f>AA23</f>
        <v>0.4</v>
      </c>
      <c r="CZ23">
        <f>AE23</f>
        <v>0.4</v>
      </c>
      <c r="DA23">
        <f>AI23</f>
        <v>1</v>
      </c>
      <c r="DB23">
        <f>ROUND(ROUND(AT23*CZ23,2),2)</f>
        <v>1.06</v>
      </c>
      <c r="DC23">
        <f>ROUND(ROUND(AT23*AG23,2),2)</f>
        <v>0</v>
      </c>
    </row>
    <row r="24" spans="1:107" x14ac:dyDescent="0.2">
      <c r="A24">
        <f>ROW(Source!A35)</f>
        <v>35</v>
      </c>
      <c r="B24">
        <v>224527337</v>
      </c>
      <c r="C24">
        <v>224527580</v>
      </c>
      <c r="D24">
        <v>222908827</v>
      </c>
      <c r="E24">
        <v>1</v>
      </c>
      <c r="F24">
        <v>1</v>
      </c>
      <c r="G24">
        <v>1</v>
      </c>
      <c r="H24">
        <v>3</v>
      </c>
      <c r="I24" t="s">
        <v>644</v>
      </c>
      <c r="J24" t="s">
        <v>645</v>
      </c>
      <c r="K24" t="s">
        <v>646</v>
      </c>
      <c r="L24">
        <v>1308</v>
      </c>
      <c r="N24">
        <v>1003</v>
      </c>
      <c r="O24" t="s">
        <v>78</v>
      </c>
      <c r="P24" t="s">
        <v>78</v>
      </c>
      <c r="Q24">
        <v>100</v>
      </c>
      <c r="W24">
        <v>0</v>
      </c>
      <c r="X24">
        <v>-882197249</v>
      </c>
      <c r="Y24">
        <v>0.68</v>
      </c>
      <c r="AA24">
        <v>99.4</v>
      </c>
      <c r="AB24">
        <v>0</v>
      </c>
      <c r="AC24">
        <v>0</v>
      </c>
      <c r="AD24">
        <v>0</v>
      </c>
      <c r="AE24">
        <v>99.4</v>
      </c>
      <c r="AF24">
        <v>0</v>
      </c>
      <c r="AG24">
        <v>0</v>
      </c>
      <c r="AH24">
        <v>0</v>
      </c>
      <c r="AI24">
        <v>1</v>
      </c>
      <c r="AJ24">
        <v>1</v>
      </c>
      <c r="AK24">
        <v>1</v>
      </c>
      <c r="AL24">
        <v>1</v>
      </c>
      <c r="AN24">
        <v>0</v>
      </c>
      <c r="AO24">
        <v>1</v>
      </c>
      <c r="AP24">
        <v>0</v>
      </c>
      <c r="AQ24">
        <v>0</v>
      </c>
      <c r="AR24">
        <v>0</v>
      </c>
      <c r="AS24" t="s">
        <v>2</v>
      </c>
      <c r="AT24">
        <v>0.68</v>
      </c>
      <c r="AU24" t="s">
        <v>2</v>
      </c>
      <c r="AV24">
        <v>0</v>
      </c>
      <c r="AW24">
        <v>2</v>
      </c>
      <c r="AX24">
        <v>224527587</v>
      </c>
      <c r="AY24">
        <v>1</v>
      </c>
      <c r="AZ24">
        <v>0</v>
      </c>
      <c r="BA24">
        <v>29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X24">
        <f>Y24*Source!I35</f>
        <v>0.32640000000000002</v>
      </c>
      <c r="CY24">
        <f>AA24</f>
        <v>99.4</v>
      </c>
      <c r="CZ24">
        <f>AE24</f>
        <v>99.4</v>
      </c>
      <c r="DA24">
        <f>AI24</f>
        <v>1</v>
      </c>
      <c r="DB24">
        <f>ROUND(ROUND(AT24*CZ24,2),2)</f>
        <v>67.59</v>
      </c>
      <c r="DC24">
        <f>ROUND(ROUND(AT24*AG24,2),2)</f>
        <v>0</v>
      </c>
    </row>
    <row r="25" spans="1:107" x14ac:dyDescent="0.2">
      <c r="A25">
        <f>ROW(Source!A37)</f>
        <v>37</v>
      </c>
      <c r="B25">
        <v>224527337</v>
      </c>
      <c r="C25">
        <v>224527640</v>
      </c>
      <c r="D25">
        <v>222895963</v>
      </c>
      <c r="E25">
        <v>70</v>
      </c>
      <c r="F25">
        <v>1</v>
      </c>
      <c r="G25">
        <v>1</v>
      </c>
      <c r="H25">
        <v>1</v>
      </c>
      <c r="I25" t="s">
        <v>647</v>
      </c>
      <c r="J25" t="s">
        <v>2</v>
      </c>
      <c r="K25" t="s">
        <v>648</v>
      </c>
      <c r="L25">
        <v>1191</v>
      </c>
      <c r="N25">
        <v>74472246</v>
      </c>
      <c r="O25" t="s">
        <v>600</v>
      </c>
      <c r="P25" t="s">
        <v>600</v>
      </c>
      <c r="Q25">
        <v>1</v>
      </c>
      <c r="W25">
        <v>0</v>
      </c>
      <c r="X25">
        <v>1049124552</v>
      </c>
      <c r="Y25">
        <v>8.4787199999999991</v>
      </c>
      <c r="AA25">
        <v>0</v>
      </c>
      <c r="AB25">
        <v>0</v>
      </c>
      <c r="AC25">
        <v>0</v>
      </c>
      <c r="AD25">
        <v>8.5299999999999994</v>
      </c>
      <c r="AE25">
        <v>0</v>
      </c>
      <c r="AF25">
        <v>0</v>
      </c>
      <c r="AG25">
        <v>0</v>
      </c>
      <c r="AH25">
        <v>8.5299999999999994</v>
      </c>
      <c r="AI25">
        <v>1</v>
      </c>
      <c r="AJ25">
        <v>1</v>
      </c>
      <c r="AK25">
        <v>1</v>
      </c>
      <c r="AL25">
        <v>1</v>
      </c>
      <c r="AN25">
        <v>0</v>
      </c>
      <c r="AO25">
        <v>1</v>
      </c>
      <c r="AP25">
        <v>1</v>
      </c>
      <c r="AQ25">
        <v>0</v>
      </c>
      <c r="AR25">
        <v>0</v>
      </c>
      <c r="AS25" t="s">
        <v>2</v>
      </c>
      <c r="AT25">
        <v>7.68</v>
      </c>
      <c r="AU25" t="s">
        <v>82</v>
      </c>
      <c r="AV25">
        <v>1</v>
      </c>
      <c r="AW25">
        <v>2</v>
      </c>
      <c r="AX25">
        <v>224527644</v>
      </c>
      <c r="AY25">
        <v>1</v>
      </c>
      <c r="AZ25">
        <v>0</v>
      </c>
      <c r="BA25">
        <v>30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X25">
        <f>Y25*Source!I37</f>
        <v>2.2892543999999999</v>
      </c>
      <c r="CY25">
        <f>AD25</f>
        <v>8.5299999999999994</v>
      </c>
      <c r="CZ25">
        <f>AH25</f>
        <v>8.5299999999999994</v>
      </c>
      <c r="DA25">
        <f>AL25</f>
        <v>1</v>
      </c>
      <c r="DB25">
        <f>ROUND((((ROUND(AT25*CZ25,2)*0.8)*1.15)*1.2),2)</f>
        <v>72.319999999999993</v>
      </c>
      <c r="DC25">
        <f>ROUND((((ROUND(AT25*AG25,2)*0.8)*1.15)*1.2),2)</f>
        <v>0</v>
      </c>
    </row>
    <row r="26" spans="1:107" x14ac:dyDescent="0.2">
      <c r="A26">
        <f>ROW(Source!A37)</f>
        <v>37</v>
      </c>
      <c r="B26">
        <v>224527337</v>
      </c>
      <c r="C26">
        <v>224527640</v>
      </c>
      <c r="D26">
        <v>222896153</v>
      </c>
      <c r="E26">
        <v>70</v>
      </c>
      <c r="F26">
        <v>1</v>
      </c>
      <c r="G26">
        <v>1</v>
      </c>
      <c r="H26">
        <v>1</v>
      </c>
      <c r="I26" t="s">
        <v>607</v>
      </c>
      <c r="J26" t="s">
        <v>2</v>
      </c>
      <c r="K26" t="s">
        <v>608</v>
      </c>
      <c r="L26">
        <v>1191</v>
      </c>
      <c r="N26">
        <v>74472246</v>
      </c>
      <c r="O26" t="s">
        <v>600</v>
      </c>
      <c r="P26" t="s">
        <v>600</v>
      </c>
      <c r="Q26">
        <v>1</v>
      </c>
      <c r="W26">
        <v>0</v>
      </c>
      <c r="X26">
        <v>-1417349443</v>
      </c>
      <c r="Y26">
        <v>0.108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1</v>
      </c>
      <c r="AJ26">
        <v>1</v>
      </c>
      <c r="AK26">
        <v>1</v>
      </c>
      <c r="AL26">
        <v>1</v>
      </c>
      <c r="AN26">
        <v>0</v>
      </c>
      <c r="AO26">
        <v>1</v>
      </c>
      <c r="AP26">
        <v>1</v>
      </c>
      <c r="AQ26">
        <v>0</v>
      </c>
      <c r="AR26">
        <v>0</v>
      </c>
      <c r="AS26" t="s">
        <v>2</v>
      </c>
      <c r="AT26">
        <v>0.09</v>
      </c>
      <c r="AU26" t="s">
        <v>81</v>
      </c>
      <c r="AV26">
        <v>2</v>
      </c>
      <c r="AW26">
        <v>2</v>
      </c>
      <c r="AX26">
        <v>224527645</v>
      </c>
      <c r="AY26">
        <v>1</v>
      </c>
      <c r="AZ26">
        <v>0</v>
      </c>
      <c r="BA26">
        <v>31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X26">
        <f>Y26*Source!I37</f>
        <v>2.9160000000000002E-2</v>
      </c>
      <c r="CY26">
        <f>AD26</f>
        <v>0</v>
      </c>
      <c r="CZ26">
        <f>AH26</f>
        <v>0</v>
      </c>
      <c r="DA26">
        <f>AL26</f>
        <v>1</v>
      </c>
      <c r="DB26">
        <f>ROUND((((ROUND(AT26*CZ26,2)*0.8)*1.25)*1.2),2)</f>
        <v>0</v>
      </c>
      <c r="DC26">
        <f>ROUND((((ROUND(AT26*AG26,2)*0.8)*1.25)*1.2),2)</f>
        <v>0</v>
      </c>
    </row>
    <row r="27" spans="1:107" x14ac:dyDescent="0.2">
      <c r="A27">
        <f>ROW(Source!A37)</f>
        <v>37</v>
      </c>
      <c r="B27">
        <v>224527337</v>
      </c>
      <c r="C27">
        <v>224527640</v>
      </c>
      <c r="D27">
        <v>223058015</v>
      </c>
      <c r="E27">
        <v>1</v>
      </c>
      <c r="F27">
        <v>1</v>
      </c>
      <c r="G27">
        <v>1</v>
      </c>
      <c r="H27">
        <v>2</v>
      </c>
      <c r="I27" t="s">
        <v>613</v>
      </c>
      <c r="J27" t="s">
        <v>614</v>
      </c>
      <c r="K27" t="s">
        <v>615</v>
      </c>
      <c r="L27">
        <v>1367</v>
      </c>
      <c r="N27">
        <v>1011</v>
      </c>
      <c r="O27" t="s">
        <v>612</v>
      </c>
      <c r="P27" t="s">
        <v>612</v>
      </c>
      <c r="Q27">
        <v>1</v>
      </c>
      <c r="W27">
        <v>0</v>
      </c>
      <c r="X27">
        <v>1232162608</v>
      </c>
      <c r="Y27">
        <v>1.2E-2</v>
      </c>
      <c r="AA27">
        <v>0</v>
      </c>
      <c r="AB27">
        <v>31.26</v>
      </c>
      <c r="AC27">
        <v>13.5</v>
      </c>
      <c r="AD27">
        <v>0</v>
      </c>
      <c r="AE27">
        <v>0</v>
      </c>
      <c r="AF27">
        <v>31.26</v>
      </c>
      <c r="AG27">
        <v>13.5</v>
      </c>
      <c r="AH27">
        <v>0</v>
      </c>
      <c r="AI27">
        <v>1</v>
      </c>
      <c r="AJ27">
        <v>1</v>
      </c>
      <c r="AK27">
        <v>1</v>
      </c>
      <c r="AL27">
        <v>1</v>
      </c>
      <c r="AN27">
        <v>0</v>
      </c>
      <c r="AO27">
        <v>1</v>
      </c>
      <c r="AP27">
        <v>1</v>
      </c>
      <c r="AQ27">
        <v>0</v>
      </c>
      <c r="AR27">
        <v>0</v>
      </c>
      <c r="AS27" t="s">
        <v>2</v>
      </c>
      <c r="AT27">
        <v>0.01</v>
      </c>
      <c r="AU27" t="s">
        <v>81</v>
      </c>
      <c r="AV27">
        <v>0</v>
      </c>
      <c r="AW27">
        <v>2</v>
      </c>
      <c r="AX27">
        <v>224527646</v>
      </c>
      <c r="AY27">
        <v>1</v>
      </c>
      <c r="AZ27">
        <v>0</v>
      </c>
      <c r="BA27">
        <v>32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X27">
        <f>Y27*Source!I37</f>
        <v>3.2400000000000003E-3</v>
      </c>
      <c r="CY27">
        <f>AB27</f>
        <v>31.26</v>
      </c>
      <c r="CZ27">
        <f>AF27</f>
        <v>31.26</v>
      </c>
      <c r="DA27">
        <f>AJ27</f>
        <v>1</v>
      </c>
      <c r="DB27">
        <f>ROUND((((ROUND(AT27*CZ27,2)*0.8)*1.25)*1.2),2)</f>
        <v>0.37</v>
      </c>
      <c r="DC27">
        <f>ROUND((((ROUND(AT27*AG27,2)*0.8)*1.25)*1.2),2)</f>
        <v>0.17</v>
      </c>
    </row>
    <row r="28" spans="1:107" x14ac:dyDescent="0.2">
      <c r="A28">
        <f>ROW(Source!A37)</f>
        <v>37</v>
      </c>
      <c r="B28">
        <v>224527337</v>
      </c>
      <c r="C28">
        <v>224527640</v>
      </c>
      <c r="D28">
        <v>223058751</v>
      </c>
      <c r="E28">
        <v>1</v>
      </c>
      <c r="F28">
        <v>1</v>
      </c>
      <c r="G28">
        <v>1</v>
      </c>
      <c r="H28">
        <v>2</v>
      </c>
      <c r="I28" t="s">
        <v>624</v>
      </c>
      <c r="J28" t="s">
        <v>625</v>
      </c>
      <c r="K28" t="s">
        <v>626</v>
      </c>
      <c r="L28">
        <v>1367</v>
      </c>
      <c r="N28">
        <v>1011</v>
      </c>
      <c r="O28" t="s">
        <v>612</v>
      </c>
      <c r="P28" t="s">
        <v>612</v>
      </c>
      <c r="Q28">
        <v>1</v>
      </c>
      <c r="W28">
        <v>0</v>
      </c>
      <c r="X28">
        <v>509054691</v>
      </c>
      <c r="Y28">
        <v>9.6000000000000002E-2</v>
      </c>
      <c r="AA28">
        <v>0</v>
      </c>
      <c r="AB28">
        <v>65.709999999999994</v>
      </c>
      <c r="AC28">
        <v>11.6</v>
      </c>
      <c r="AD28">
        <v>0</v>
      </c>
      <c r="AE28">
        <v>0</v>
      </c>
      <c r="AF28">
        <v>65.709999999999994</v>
      </c>
      <c r="AG28">
        <v>11.6</v>
      </c>
      <c r="AH28">
        <v>0</v>
      </c>
      <c r="AI28">
        <v>1</v>
      </c>
      <c r="AJ28">
        <v>1</v>
      </c>
      <c r="AK28">
        <v>1</v>
      </c>
      <c r="AL28">
        <v>1</v>
      </c>
      <c r="AN28">
        <v>0</v>
      </c>
      <c r="AO28">
        <v>1</v>
      </c>
      <c r="AP28">
        <v>1</v>
      </c>
      <c r="AQ28">
        <v>0</v>
      </c>
      <c r="AR28">
        <v>0</v>
      </c>
      <c r="AS28" t="s">
        <v>2</v>
      </c>
      <c r="AT28">
        <v>0.08</v>
      </c>
      <c r="AU28" t="s">
        <v>81</v>
      </c>
      <c r="AV28">
        <v>0</v>
      </c>
      <c r="AW28">
        <v>2</v>
      </c>
      <c r="AX28">
        <v>224527647</v>
      </c>
      <c r="AY28">
        <v>1</v>
      </c>
      <c r="AZ28">
        <v>0</v>
      </c>
      <c r="BA28">
        <v>33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X28">
        <f>Y28*Source!I37</f>
        <v>2.5920000000000002E-2</v>
      </c>
      <c r="CY28">
        <f>AB28</f>
        <v>65.709999999999994</v>
      </c>
      <c r="CZ28">
        <f>AF28</f>
        <v>65.709999999999994</v>
      </c>
      <c r="DA28">
        <f>AJ28</f>
        <v>1</v>
      </c>
      <c r="DB28">
        <f>ROUND((((ROUND(AT28*CZ28,2)*0.8)*1.25)*1.2),2)</f>
        <v>6.31</v>
      </c>
      <c r="DC28">
        <f>ROUND((((ROUND(AT28*AG28,2)*0.8)*1.25)*1.2),2)</f>
        <v>1.1200000000000001</v>
      </c>
    </row>
    <row r="29" spans="1:107" x14ac:dyDescent="0.2">
      <c r="A29">
        <f>ROW(Source!A37)</f>
        <v>37</v>
      </c>
      <c r="B29">
        <v>224527337</v>
      </c>
      <c r="C29">
        <v>224527640</v>
      </c>
      <c r="D29">
        <v>222910838</v>
      </c>
      <c r="E29">
        <v>1</v>
      </c>
      <c r="F29">
        <v>1</v>
      </c>
      <c r="G29">
        <v>1</v>
      </c>
      <c r="H29">
        <v>3</v>
      </c>
      <c r="I29" t="s">
        <v>649</v>
      </c>
      <c r="J29" t="s">
        <v>650</v>
      </c>
      <c r="K29" t="s">
        <v>651</v>
      </c>
      <c r="L29">
        <v>1348</v>
      </c>
      <c r="N29">
        <v>1009</v>
      </c>
      <c r="O29" t="s">
        <v>18</v>
      </c>
      <c r="P29" t="s">
        <v>18</v>
      </c>
      <c r="Q29">
        <v>1000</v>
      </c>
      <c r="W29">
        <v>0</v>
      </c>
      <c r="X29">
        <v>14105173</v>
      </c>
      <c r="Y29">
        <v>0</v>
      </c>
      <c r="AA29">
        <v>8475</v>
      </c>
      <c r="AB29">
        <v>0</v>
      </c>
      <c r="AC29">
        <v>0</v>
      </c>
      <c r="AD29">
        <v>0</v>
      </c>
      <c r="AE29">
        <v>8475</v>
      </c>
      <c r="AF29">
        <v>0</v>
      </c>
      <c r="AG29">
        <v>0</v>
      </c>
      <c r="AH29">
        <v>0</v>
      </c>
      <c r="AI29">
        <v>1</v>
      </c>
      <c r="AJ29">
        <v>1</v>
      </c>
      <c r="AK29">
        <v>1</v>
      </c>
      <c r="AL29">
        <v>1</v>
      </c>
      <c r="AN29">
        <v>0</v>
      </c>
      <c r="AO29">
        <v>1</v>
      </c>
      <c r="AP29">
        <v>1</v>
      </c>
      <c r="AQ29">
        <v>0</v>
      </c>
      <c r="AR29">
        <v>0</v>
      </c>
      <c r="AS29" t="s">
        <v>2</v>
      </c>
      <c r="AT29">
        <v>2.9999999999999997E-4</v>
      </c>
      <c r="AU29" t="s">
        <v>80</v>
      </c>
      <c r="AV29">
        <v>0</v>
      </c>
      <c r="AW29">
        <v>2</v>
      </c>
      <c r="AX29">
        <v>224527648</v>
      </c>
      <c r="AY29">
        <v>1</v>
      </c>
      <c r="AZ29">
        <v>0</v>
      </c>
      <c r="BA29">
        <v>34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X29">
        <f>Y29*Source!I37</f>
        <v>0</v>
      </c>
      <c r="CY29">
        <f>AA29</f>
        <v>8475</v>
      </c>
      <c r="CZ29">
        <f>AE29</f>
        <v>8475</v>
      </c>
      <c r="DA29">
        <f>AI29</f>
        <v>1</v>
      </c>
      <c r="DB29">
        <f>ROUND((ROUND(AT29*CZ29,2)*0),2)</f>
        <v>0</v>
      </c>
      <c r="DC29">
        <f>ROUND((ROUND(AT29*AG29,2)*0),2)</f>
        <v>0</v>
      </c>
    </row>
    <row r="30" spans="1:107" x14ac:dyDescent="0.2">
      <c r="A30">
        <f>ROW(Source!A37)</f>
        <v>37</v>
      </c>
      <c r="B30">
        <v>224527337</v>
      </c>
      <c r="C30">
        <v>224527640</v>
      </c>
      <c r="D30">
        <v>222931724</v>
      </c>
      <c r="E30">
        <v>1</v>
      </c>
      <c r="F30">
        <v>1</v>
      </c>
      <c r="G30">
        <v>1</v>
      </c>
      <c r="H30">
        <v>3</v>
      </c>
      <c r="I30" t="s">
        <v>652</v>
      </c>
      <c r="J30" t="s">
        <v>653</v>
      </c>
      <c r="K30" t="s">
        <v>654</v>
      </c>
      <c r="L30">
        <v>1301</v>
      </c>
      <c r="N30">
        <v>1003</v>
      </c>
      <c r="O30" t="s">
        <v>195</v>
      </c>
      <c r="P30" t="s">
        <v>195</v>
      </c>
      <c r="Q30">
        <v>1</v>
      </c>
      <c r="W30">
        <v>0</v>
      </c>
      <c r="X30">
        <v>-1475389505</v>
      </c>
      <c r="Y30">
        <v>0</v>
      </c>
      <c r="AA30">
        <v>4.8899999999999997</v>
      </c>
      <c r="AB30">
        <v>0</v>
      </c>
      <c r="AC30">
        <v>0</v>
      </c>
      <c r="AD30">
        <v>0</v>
      </c>
      <c r="AE30">
        <v>4.8899999999999997</v>
      </c>
      <c r="AF30">
        <v>0</v>
      </c>
      <c r="AG30">
        <v>0</v>
      </c>
      <c r="AH30">
        <v>0</v>
      </c>
      <c r="AI30">
        <v>1</v>
      </c>
      <c r="AJ30">
        <v>1</v>
      </c>
      <c r="AK30">
        <v>1</v>
      </c>
      <c r="AL30">
        <v>1</v>
      </c>
      <c r="AN30">
        <v>0</v>
      </c>
      <c r="AO30">
        <v>1</v>
      </c>
      <c r="AP30">
        <v>1</v>
      </c>
      <c r="AQ30">
        <v>0</v>
      </c>
      <c r="AR30">
        <v>0</v>
      </c>
      <c r="AS30" t="s">
        <v>2</v>
      </c>
      <c r="AT30">
        <v>101</v>
      </c>
      <c r="AU30" t="s">
        <v>80</v>
      </c>
      <c r="AV30">
        <v>0</v>
      </c>
      <c r="AW30">
        <v>2</v>
      </c>
      <c r="AX30">
        <v>224527649</v>
      </c>
      <c r="AY30">
        <v>1</v>
      </c>
      <c r="AZ30">
        <v>0</v>
      </c>
      <c r="BA30">
        <v>35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X30">
        <f>Y30*Source!I37</f>
        <v>0</v>
      </c>
      <c r="CY30">
        <f>AA30</f>
        <v>4.8899999999999997</v>
      </c>
      <c r="CZ30">
        <f>AE30</f>
        <v>4.8899999999999997</v>
      </c>
      <c r="DA30">
        <f>AI30</f>
        <v>1</v>
      </c>
      <c r="DB30">
        <f>ROUND((ROUND(AT30*CZ30,2)*0),2)</f>
        <v>0</v>
      </c>
      <c r="DC30">
        <f>ROUND((ROUND(AT30*AG30,2)*0),2)</f>
        <v>0</v>
      </c>
    </row>
    <row r="31" spans="1:107" x14ac:dyDescent="0.2">
      <c r="A31">
        <f>ROW(Source!A38)</f>
        <v>38</v>
      </c>
      <c r="B31">
        <v>224527337</v>
      </c>
      <c r="C31">
        <v>224527590</v>
      </c>
      <c r="D31">
        <v>222895963</v>
      </c>
      <c r="E31">
        <v>70</v>
      </c>
      <c r="F31">
        <v>1</v>
      </c>
      <c r="G31">
        <v>1</v>
      </c>
      <c r="H31">
        <v>1</v>
      </c>
      <c r="I31" t="s">
        <v>647</v>
      </c>
      <c r="J31" t="s">
        <v>2</v>
      </c>
      <c r="K31" t="s">
        <v>648</v>
      </c>
      <c r="L31">
        <v>1191</v>
      </c>
      <c r="N31">
        <v>74472246</v>
      </c>
      <c r="O31" t="s">
        <v>600</v>
      </c>
      <c r="P31" t="s">
        <v>600</v>
      </c>
      <c r="Q31">
        <v>1</v>
      </c>
      <c r="W31">
        <v>0</v>
      </c>
      <c r="X31">
        <v>1049124552</v>
      </c>
      <c r="Y31">
        <v>10.598399999999998</v>
      </c>
      <c r="AA31">
        <v>0</v>
      </c>
      <c r="AB31">
        <v>0</v>
      </c>
      <c r="AC31">
        <v>0</v>
      </c>
      <c r="AD31">
        <v>8.5299999999999994</v>
      </c>
      <c r="AE31">
        <v>0</v>
      </c>
      <c r="AF31">
        <v>0</v>
      </c>
      <c r="AG31">
        <v>0</v>
      </c>
      <c r="AH31">
        <v>8.5299999999999994</v>
      </c>
      <c r="AI31">
        <v>1</v>
      </c>
      <c r="AJ31">
        <v>1</v>
      </c>
      <c r="AK31">
        <v>1</v>
      </c>
      <c r="AL31">
        <v>1</v>
      </c>
      <c r="AN31">
        <v>0</v>
      </c>
      <c r="AO31">
        <v>1</v>
      </c>
      <c r="AP31">
        <v>1</v>
      </c>
      <c r="AQ31">
        <v>0</v>
      </c>
      <c r="AR31">
        <v>0</v>
      </c>
      <c r="AS31" t="s">
        <v>2</v>
      </c>
      <c r="AT31">
        <v>7.68</v>
      </c>
      <c r="AU31" t="s">
        <v>85</v>
      </c>
      <c r="AV31">
        <v>1</v>
      </c>
      <c r="AW31">
        <v>2</v>
      </c>
      <c r="AX31">
        <v>224527591</v>
      </c>
      <c r="AY31">
        <v>1</v>
      </c>
      <c r="AZ31">
        <v>0</v>
      </c>
      <c r="BA31">
        <v>36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X31">
        <f>Y31*Source!I38</f>
        <v>2.8615679999999997</v>
      </c>
      <c r="CY31">
        <f>AD31</f>
        <v>8.5299999999999994</v>
      </c>
      <c r="CZ31">
        <f>AH31</f>
        <v>8.5299999999999994</v>
      </c>
      <c r="DA31">
        <f>AL31</f>
        <v>1</v>
      </c>
      <c r="DB31">
        <f>ROUND(((ROUND(AT31*CZ31,2)*1.15)*1.2),2)</f>
        <v>90.4</v>
      </c>
      <c r="DC31">
        <f>ROUND(((ROUND(AT31*AG31,2)*1.15)*1.2),2)</f>
        <v>0</v>
      </c>
    </row>
    <row r="32" spans="1:107" x14ac:dyDescent="0.2">
      <c r="A32">
        <f>ROW(Source!A38)</f>
        <v>38</v>
      </c>
      <c r="B32">
        <v>224527337</v>
      </c>
      <c r="C32">
        <v>224527590</v>
      </c>
      <c r="D32">
        <v>222896153</v>
      </c>
      <c r="E32">
        <v>70</v>
      </c>
      <c r="F32">
        <v>1</v>
      </c>
      <c r="G32">
        <v>1</v>
      </c>
      <c r="H32">
        <v>1</v>
      </c>
      <c r="I32" t="s">
        <v>607</v>
      </c>
      <c r="J32" t="s">
        <v>2</v>
      </c>
      <c r="K32" t="s">
        <v>608</v>
      </c>
      <c r="L32">
        <v>1191</v>
      </c>
      <c r="N32">
        <v>74472246</v>
      </c>
      <c r="O32" t="s">
        <v>600</v>
      </c>
      <c r="P32" t="s">
        <v>600</v>
      </c>
      <c r="Q32">
        <v>1</v>
      </c>
      <c r="W32">
        <v>0</v>
      </c>
      <c r="X32">
        <v>-1417349443</v>
      </c>
      <c r="Y32">
        <v>0.13499999999999998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1</v>
      </c>
      <c r="AJ32">
        <v>1</v>
      </c>
      <c r="AK32">
        <v>1</v>
      </c>
      <c r="AL32">
        <v>1</v>
      </c>
      <c r="AN32">
        <v>0</v>
      </c>
      <c r="AO32">
        <v>1</v>
      </c>
      <c r="AP32">
        <v>1</v>
      </c>
      <c r="AQ32">
        <v>0</v>
      </c>
      <c r="AR32">
        <v>0</v>
      </c>
      <c r="AS32" t="s">
        <v>2</v>
      </c>
      <c r="AT32">
        <v>0.09</v>
      </c>
      <c r="AU32" t="s">
        <v>65</v>
      </c>
      <c r="AV32">
        <v>2</v>
      </c>
      <c r="AW32">
        <v>2</v>
      </c>
      <c r="AX32">
        <v>224527592</v>
      </c>
      <c r="AY32">
        <v>1</v>
      </c>
      <c r="AZ32">
        <v>0</v>
      </c>
      <c r="BA32">
        <v>37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X32">
        <f>Y32*Source!I38</f>
        <v>3.6449999999999996E-2</v>
      </c>
      <c r="CY32">
        <f>AD32</f>
        <v>0</v>
      </c>
      <c r="CZ32">
        <f>AH32</f>
        <v>0</v>
      </c>
      <c r="DA32">
        <f>AL32</f>
        <v>1</v>
      </c>
      <c r="DB32">
        <f>ROUND(((ROUND(AT32*CZ32,2)*1.25)*1.2),2)</f>
        <v>0</v>
      </c>
      <c r="DC32">
        <f>ROUND(((ROUND(AT32*AG32,2)*1.25)*1.2),2)</f>
        <v>0</v>
      </c>
    </row>
    <row r="33" spans="1:107" x14ac:dyDescent="0.2">
      <c r="A33">
        <f>ROW(Source!A38)</f>
        <v>38</v>
      </c>
      <c r="B33">
        <v>224527337</v>
      </c>
      <c r="C33">
        <v>224527590</v>
      </c>
      <c r="D33">
        <v>223058015</v>
      </c>
      <c r="E33">
        <v>1</v>
      </c>
      <c r="F33">
        <v>1</v>
      </c>
      <c r="G33">
        <v>1</v>
      </c>
      <c r="H33">
        <v>2</v>
      </c>
      <c r="I33" t="s">
        <v>613</v>
      </c>
      <c r="J33" t="s">
        <v>614</v>
      </c>
      <c r="K33" t="s">
        <v>615</v>
      </c>
      <c r="L33">
        <v>1367</v>
      </c>
      <c r="N33">
        <v>1011</v>
      </c>
      <c r="O33" t="s">
        <v>612</v>
      </c>
      <c r="P33" t="s">
        <v>612</v>
      </c>
      <c r="Q33">
        <v>1</v>
      </c>
      <c r="W33">
        <v>0</v>
      </c>
      <c r="X33">
        <v>1232162608</v>
      </c>
      <c r="Y33">
        <v>1.4999999999999999E-2</v>
      </c>
      <c r="AA33">
        <v>0</v>
      </c>
      <c r="AB33">
        <v>31.26</v>
      </c>
      <c r="AC33">
        <v>13.5</v>
      </c>
      <c r="AD33">
        <v>0</v>
      </c>
      <c r="AE33">
        <v>0</v>
      </c>
      <c r="AF33">
        <v>31.26</v>
      </c>
      <c r="AG33">
        <v>13.5</v>
      </c>
      <c r="AH33">
        <v>0</v>
      </c>
      <c r="AI33">
        <v>1</v>
      </c>
      <c r="AJ33">
        <v>1</v>
      </c>
      <c r="AK33">
        <v>1</v>
      </c>
      <c r="AL33">
        <v>1</v>
      </c>
      <c r="AN33">
        <v>0</v>
      </c>
      <c r="AO33">
        <v>1</v>
      </c>
      <c r="AP33">
        <v>1</v>
      </c>
      <c r="AQ33">
        <v>0</v>
      </c>
      <c r="AR33">
        <v>0</v>
      </c>
      <c r="AS33" t="s">
        <v>2</v>
      </c>
      <c r="AT33">
        <v>0.01</v>
      </c>
      <c r="AU33" t="s">
        <v>65</v>
      </c>
      <c r="AV33">
        <v>0</v>
      </c>
      <c r="AW33">
        <v>2</v>
      </c>
      <c r="AX33">
        <v>224527593</v>
      </c>
      <c r="AY33">
        <v>1</v>
      </c>
      <c r="AZ33">
        <v>0</v>
      </c>
      <c r="BA33">
        <v>38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X33">
        <f>Y33*Source!I38</f>
        <v>4.0499999999999998E-3</v>
      </c>
      <c r="CY33">
        <f>AB33</f>
        <v>31.26</v>
      </c>
      <c r="CZ33">
        <f>AF33</f>
        <v>31.26</v>
      </c>
      <c r="DA33">
        <f>AJ33</f>
        <v>1</v>
      </c>
      <c r="DB33">
        <f>ROUND(((ROUND(AT33*CZ33,2)*1.25)*1.2),2)</f>
        <v>0.47</v>
      </c>
      <c r="DC33">
        <f>ROUND(((ROUND(AT33*AG33,2)*1.25)*1.2),2)</f>
        <v>0.21</v>
      </c>
    </row>
    <row r="34" spans="1:107" x14ac:dyDescent="0.2">
      <c r="A34">
        <f>ROW(Source!A38)</f>
        <v>38</v>
      </c>
      <c r="B34">
        <v>224527337</v>
      </c>
      <c r="C34">
        <v>224527590</v>
      </c>
      <c r="D34">
        <v>223058751</v>
      </c>
      <c r="E34">
        <v>1</v>
      </c>
      <c r="F34">
        <v>1</v>
      </c>
      <c r="G34">
        <v>1</v>
      </c>
      <c r="H34">
        <v>2</v>
      </c>
      <c r="I34" t="s">
        <v>624</v>
      </c>
      <c r="J34" t="s">
        <v>625</v>
      </c>
      <c r="K34" t="s">
        <v>626</v>
      </c>
      <c r="L34">
        <v>1367</v>
      </c>
      <c r="N34">
        <v>1011</v>
      </c>
      <c r="O34" t="s">
        <v>612</v>
      </c>
      <c r="P34" t="s">
        <v>612</v>
      </c>
      <c r="Q34">
        <v>1</v>
      </c>
      <c r="W34">
        <v>0</v>
      </c>
      <c r="X34">
        <v>509054691</v>
      </c>
      <c r="Y34">
        <v>0.12</v>
      </c>
      <c r="AA34">
        <v>0</v>
      </c>
      <c r="AB34">
        <v>65.709999999999994</v>
      </c>
      <c r="AC34">
        <v>11.6</v>
      </c>
      <c r="AD34">
        <v>0</v>
      </c>
      <c r="AE34">
        <v>0</v>
      </c>
      <c r="AF34">
        <v>65.709999999999994</v>
      </c>
      <c r="AG34">
        <v>11.6</v>
      </c>
      <c r="AH34">
        <v>0</v>
      </c>
      <c r="AI34">
        <v>1</v>
      </c>
      <c r="AJ34">
        <v>1</v>
      </c>
      <c r="AK34">
        <v>1</v>
      </c>
      <c r="AL34">
        <v>1</v>
      </c>
      <c r="AN34">
        <v>0</v>
      </c>
      <c r="AO34">
        <v>1</v>
      </c>
      <c r="AP34">
        <v>1</v>
      </c>
      <c r="AQ34">
        <v>0</v>
      </c>
      <c r="AR34">
        <v>0</v>
      </c>
      <c r="AS34" t="s">
        <v>2</v>
      </c>
      <c r="AT34">
        <v>0.08</v>
      </c>
      <c r="AU34" t="s">
        <v>65</v>
      </c>
      <c r="AV34">
        <v>0</v>
      </c>
      <c r="AW34">
        <v>2</v>
      </c>
      <c r="AX34">
        <v>224527594</v>
      </c>
      <c r="AY34">
        <v>1</v>
      </c>
      <c r="AZ34">
        <v>0</v>
      </c>
      <c r="BA34">
        <v>39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X34">
        <f>Y34*Source!I38</f>
        <v>3.2399999999999998E-2</v>
      </c>
      <c r="CY34">
        <f>AB34</f>
        <v>65.709999999999994</v>
      </c>
      <c r="CZ34">
        <f>AF34</f>
        <v>65.709999999999994</v>
      </c>
      <c r="DA34">
        <f>AJ34</f>
        <v>1</v>
      </c>
      <c r="DB34">
        <f>ROUND(((ROUND(AT34*CZ34,2)*1.25)*1.2),2)</f>
        <v>7.89</v>
      </c>
      <c r="DC34">
        <f>ROUND(((ROUND(AT34*AG34,2)*1.25)*1.2),2)</f>
        <v>1.4</v>
      </c>
    </row>
    <row r="35" spans="1:107" x14ac:dyDescent="0.2">
      <c r="A35">
        <f>ROW(Source!A38)</f>
        <v>38</v>
      </c>
      <c r="B35">
        <v>224527337</v>
      </c>
      <c r="C35">
        <v>224527590</v>
      </c>
      <c r="D35">
        <v>222910838</v>
      </c>
      <c r="E35">
        <v>1</v>
      </c>
      <c r="F35">
        <v>1</v>
      </c>
      <c r="G35">
        <v>1</v>
      </c>
      <c r="H35">
        <v>3</v>
      </c>
      <c r="I35" t="s">
        <v>649</v>
      </c>
      <c r="J35" t="s">
        <v>650</v>
      </c>
      <c r="K35" t="s">
        <v>651</v>
      </c>
      <c r="L35">
        <v>1348</v>
      </c>
      <c r="N35">
        <v>1009</v>
      </c>
      <c r="O35" t="s">
        <v>18</v>
      </c>
      <c r="P35" t="s">
        <v>18</v>
      </c>
      <c r="Q35">
        <v>1000</v>
      </c>
      <c r="W35">
        <v>0</v>
      </c>
      <c r="X35">
        <v>14105173</v>
      </c>
      <c r="Y35">
        <v>2.9999999999999997E-4</v>
      </c>
      <c r="AA35">
        <v>8475</v>
      </c>
      <c r="AB35">
        <v>0</v>
      </c>
      <c r="AC35">
        <v>0</v>
      </c>
      <c r="AD35">
        <v>0</v>
      </c>
      <c r="AE35">
        <v>8475</v>
      </c>
      <c r="AF35">
        <v>0</v>
      </c>
      <c r="AG35">
        <v>0</v>
      </c>
      <c r="AH35">
        <v>0</v>
      </c>
      <c r="AI35">
        <v>1</v>
      </c>
      <c r="AJ35">
        <v>1</v>
      </c>
      <c r="AK35">
        <v>1</v>
      </c>
      <c r="AL35">
        <v>1</v>
      </c>
      <c r="AN35">
        <v>0</v>
      </c>
      <c r="AO35">
        <v>1</v>
      </c>
      <c r="AP35">
        <v>0</v>
      </c>
      <c r="AQ35">
        <v>0</v>
      </c>
      <c r="AR35">
        <v>0</v>
      </c>
      <c r="AS35" t="s">
        <v>2</v>
      </c>
      <c r="AT35">
        <v>2.9999999999999997E-4</v>
      </c>
      <c r="AU35" t="s">
        <v>2</v>
      </c>
      <c r="AV35">
        <v>0</v>
      </c>
      <c r="AW35">
        <v>2</v>
      </c>
      <c r="AX35">
        <v>224527595</v>
      </c>
      <c r="AY35">
        <v>1</v>
      </c>
      <c r="AZ35">
        <v>0</v>
      </c>
      <c r="BA35">
        <v>40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X35">
        <f>Y35*Source!I38</f>
        <v>8.1000000000000004E-5</v>
      </c>
      <c r="CY35">
        <f>AA35</f>
        <v>8475</v>
      </c>
      <c r="CZ35">
        <f>AE35</f>
        <v>8475</v>
      </c>
      <c r="DA35">
        <f>AI35</f>
        <v>1</v>
      </c>
      <c r="DB35">
        <f t="shared" ref="DB35:DB42" si="4">ROUND(ROUND(AT35*CZ35,2),2)</f>
        <v>2.54</v>
      </c>
      <c r="DC35">
        <f t="shared" ref="DC35:DC42" si="5">ROUND(ROUND(AT35*AG35,2),2)</f>
        <v>0</v>
      </c>
    </row>
    <row r="36" spans="1:107" x14ac:dyDescent="0.2">
      <c r="A36">
        <f>ROW(Source!A38)</f>
        <v>38</v>
      </c>
      <c r="B36">
        <v>224527337</v>
      </c>
      <c r="C36">
        <v>224527590</v>
      </c>
      <c r="D36">
        <v>222931724</v>
      </c>
      <c r="E36">
        <v>1</v>
      </c>
      <c r="F36">
        <v>1</v>
      </c>
      <c r="G36">
        <v>1</v>
      </c>
      <c r="H36">
        <v>3</v>
      </c>
      <c r="I36" t="s">
        <v>652</v>
      </c>
      <c r="J36" t="s">
        <v>653</v>
      </c>
      <c r="K36" t="s">
        <v>654</v>
      </c>
      <c r="L36">
        <v>1301</v>
      </c>
      <c r="N36">
        <v>1003</v>
      </c>
      <c r="O36" t="s">
        <v>195</v>
      </c>
      <c r="P36" t="s">
        <v>195</v>
      </c>
      <c r="Q36">
        <v>1</v>
      </c>
      <c r="W36">
        <v>0</v>
      </c>
      <c r="X36">
        <v>-1475389505</v>
      </c>
      <c r="Y36">
        <v>101</v>
      </c>
      <c r="AA36">
        <v>4.8899999999999997</v>
      </c>
      <c r="AB36">
        <v>0</v>
      </c>
      <c r="AC36">
        <v>0</v>
      </c>
      <c r="AD36">
        <v>0</v>
      </c>
      <c r="AE36">
        <v>4.8899999999999997</v>
      </c>
      <c r="AF36">
        <v>0</v>
      </c>
      <c r="AG36">
        <v>0</v>
      </c>
      <c r="AH36">
        <v>0</v>
      </c>
      <c r="AI36">
        <v>1</v>
      </c>
      <c r="AJ36">
        <v>1</v>
      </c>
      <c r="AK36">
        <v>1</v>
      </c>
      <c r="AL36">
        <v>1</v>
      </c>
      <c r="AN36">
        <v>0</v>
      </c>
      <c r="AO36">
        <v>1</v>
      </c>
      <c r="AP36">
        <v>0</v>
      </c>
      <c r="AQ36">
        <v>0</v>
      </c>
      <c r="AR36">
        <v>0</v>
      </c>
      <c r="AS36" t="s">
        <v>2</v>
      </c>
      <c r="AT36">
        <v>101</v>
      </c>
      <c r="AU36" t="s">
        <v>2</v>
      </c>
      <c r="AV36">
        <v>0</v>
      </c>
      <c r="AW36">
        <v>2</v>
      </c>
      <c r="AX36">
        <v>224527596</v>
      </c>
      <c r="AY36">
        <v>1</v>
      </c>
      <c r="AZ36">
        <v>0</v>
      </c>
      <c r="BA36">
        <v>41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X36">
        <f>Y36*Source!I38</f>
        <v>27.270000000000003</v>
      </c>
      <c r="CY36">
        <f>AA36</f>
        <v>4.8899999999999997</v>
      </c>
      <c r="CZ36">
        <f>AE36</f>
        <v>4.8899999999999997</v>
      </c>
      <c r="DA36">
        <f>AI36</f>
        <v>1</v>
      </c>
      <c r="DB36">
        <f t="shared" si="4"/>
        <v>493.89</v>
      </c>
      <c r="DC36">
        <f t="shared" si="5"/>
        <v>0</v>
      </c>
    </row>
    <row r="37" spans="1:107" x14ac:dyDescent="0.2">
      <c r="A37">
        <f>ROW(Source!A39)</f>
        <v>39</v>
      </c>
      <c r="B37">
        <v>224527337</v>
      </c>
      <c r="C37">
        <v>224527597</v>
      </c>
      <c r="D37">
        <v>222895959</v>
      </c>
      <c r="E37">
        <v>70</v>
      </c>
      <c r="F37">
        <v>1</v>
      </c>
      <c r="G37">
        <v>1</v>
      </c>
      <c r="H37">
        <v>1</v>
      </c>
      <c r="I37" t="s">
        <v>605</v>
      </c>
      <c r="J37" t="s">
        <v>2</v>
      </c>
      <c r="K37" t="s">
        <v>606</v>
      </c>
      <c r="L37">
        <v>1191</v>
      </c>
      <c r="N37">
        <v>74472246</v>
      </c>
      <c r="O37" t="s">
        <v>600</v>
      </c>
      <c r="P37" t="s">
        <v>600</v>
      </c>
      <c r="Q37">
        <v>1</v>
      </c>
      <c r="W37">
        <v>0</v>
      </c>
      <c r="X37">
        <v>-961628416</v>
      </c>
      <c r="Y37">
        <v>35.83</v>
      </c>
      <c r="AA37">
        <v>0</v>
      </c>
      <c r="AB37">
        <v>0</v>
      </c>
      <c r="AC37">
        <v>0</v>
      </c>
      <c r="AD37">
        <v>8.4600000000000009</v>
      </c>
      <c r="AE37">
        <v>0</v>
      </c>
      <c r="AF37">
        <v>0</v>
      </c>
      <c r="AG37">
        <v>0</v>
      </c>
      <c r="AH37">
        <v>8.4600000000000009</v>
      </c>
      <c r="AI37">
        <v>1</v>
      </c>
      <c r="AJ37">
        <v>1</v>
      </c>
      <c r="AK37">
        <v>1</v>
      </c>
      <c r="AL37">
        <v>1</v>
      </c>
      <c r="AN37">
        <v>0</v>
      </c>
      <c r="AO37">
        <v>1</v>
      </c>
      <c r="AP37">
        <v>0</v>
      </c>
      <c r="AQ37">
        <v>0</v>
      </c>
      <c r="AR37">
        <v>0</v>
      </c>
      <c r="AS37" t="s">
        <v>2</v>
      </c>
      <c r="AT37">
        <v>35.83</v>
      </c>
      <c r="AU37" t="s">
        <v>2</v>
      </c>
      <c r="AV37">
        <v>1</v>
      </c>
      <c r="AW37">
        <v>2</v>
      </c>
      <c r="AX37">
        <v>224527598</v>
      </c>
      <c r="AY37">
        <v>1</v>
      </c>
      <c r="AZ37">
        <v>0</v>
      </c>
      <c r="BA37">
        <v>42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X37">
        <f>Y37*Source!I39</f>
        <v>34.325139999999998</v>
      </c>
      <c r="CY37">
        <f>AD37</f>
        <v>8.4600000000000009</v>
      </c>
      <c r="CZ37">
        <f>AH37</f>
        <v>8.4600000000000009</v>
      </c>
      <c r="DA37">
        <f>AL37</f>
        <v>1</v>
      </c>
      <c r="DB37">
        <f t="shared" si="4"/>
        <v>303.12</v>
      </c>
      <c r="DC37">
        <f t="shared" si="5"/>
        <v>0</v>
      </c>
    </row>
    <row r="38" spans="1:107" x14ac:dyDescent="0.2">
      <c r="A38">
        <f>ROW(Source!A39)</f>
        <v>39</v>
      </c>
      <c r="B38">
        <v>224527337</v>
      </c>
      <c r="C38">
        <v>224527597</v>
      </c>
      <c r="D38">
        <v>222896153</v>
      </c>
      <c r="E38">
        <v>70</v>
      </c>
      <c r="F38">
        <v>1</v>
      </c>
      <c r="G38">
        <v>1</v>
      </c>
      <c r="H38">
        <v>1</v>
      </c>
      <c r="I38" t="s">
        <v>607</v>
      </c>
      <c r="J38" t="s">
        <v>2</v>
      </c>
      <c r="K38" t="s">
        <v>608</v>
      </c>
      <c r="L38">
        <v>1191</v>
      </c>
      <c r="N38">
        <v>74472246</v>
      </c>
      <c r="O38" t="s">
        <v>600</v>
      </c>
      <c r="P38" t="s">
        <v>600</v>
      </c>
      <c r="Q38">
        <v>1</v>
      </c>
      <c r="W38">
        <v>0</v>
      </c>
      <c r="X38">
        <v>-1417349443</v>
      </c>
      <c r="Y38">
        <v>0.94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1</v>
      </c>
      <c r="AJ38">
        <v>1</v>
      </c>
      <c r="AK38">
        <v>1</v>
      </c>
      <c r="AL38">
        <v>1</v>
      </c>
      <c r="AN38">
        <v>0</v>
      </c>
      <c r="AO38">
        <v>1</v>
      </c>
      <c r="AP38">
        <v>0</v>
      </c>
      <c r="AQ38">
        <v>0</v>
      </c>
      <c r="AR38">
        <v>0</v>
      </c>
      <c r="AS38" t="s">
        <v>2</v>
      </c>
      <c r="AT38">
        <v>0.94</v>
      </c>
      <c r="AU38" t="s">
        <v>2</v>
      </c>
      <c r="AV38">
        <v>2</v>
      </c>
      <c r="AW38">
        <v>2</v>
      </c>
      <c r="AX38">
        <v>224527599</v>
      </c>
      <c r="AY38">
        <v>1</v>
      </c>
      <c r="AZ38">
        <v>0</v>
      </c>
      <c r="BA38">
        <v>43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X38">
        <f>Y38*Source!I39</f>
        <v>0.90051999999999988</v>
      </c>
      <c r="CY38">
        <f>AD38</f>
        <v>0</v>
      </c>
      <c r="CZ38">
        <f>AH38</f>
        <v>0</v>
      </c>
      <c r="DA38">
        <f>AL38</f>
        <v>1</v>
      </c>
      <c r="DB38">
        <f t="shared" si="4"/>
        <v>0</v>
      </c>
      <c r="DC38">
        <f t="shared" si="5"/>
        <v>0</v>
      </c>
    </row>
    <row r="39" spans="1:107" x14ac:dyDescent="0.2">
      <c r="A39">
        <f>ROW(Source!A39)</f>
        <v>39</v>
      </c>
      <c r="B39">
        <v>224527337</v>
      </c>
      <c r="C39">
        <v>224527597</v>
      </c>
      <c r="D39">
        <v>223057975</v>
      </c>
      <c r="E39">
        <v>1</v>
      </c>
      <c r="F39">
        <v>1</v>
      </c>
      <c r="G39">
        <v>1</v>
      </c>
      <c r="H39">
        <v>2</v>
      </c>
      <c r="I39" t="s">
        <v>609</v>
      </c>
      <c r="J39" t="s">
        <v>610</v>
      </c>
      <c r="K39" t="s">
        <v>611</v>
      </c>
      <c r="L39">
        <v>1367</v>
      </c>
      <c r="N39">
        <v>1011</v>
      </c>
      <c r="O39" t="s">
        <v>612</v>
      </c>
      <c r="P39" t="s">
        <v>612</v>
      </c>
      <c r="Q39">
        <v>1</v>
      </c>
      <c r="W39">
        <v>0</v>
      </c>
      <c r="X39">
        <v>-896236776</v>
      </c>
      <c r="Y39">
        <v>0.02</v>
      </c>
      <c r="AA39">
        <v>0</v>
      </c>
      <c r="AB39">
        <v>89.99</v>
      </c>
      <c r="AC39">
        <v>10.06</v>
      </c>
      <c r="AD39">
        <v>0</v>
      </c>
      <c r="AE39">
        <v>0</v>
      </c>
      <c r="AF39">
        <v>89.99</v>
      </c>
      <c r="AG39">
        <v>10.06</v>
      </c>
      <c r="AH39">
        <v>0</v>
      </c>
      <c r="AI39">
        <v>1</v>
      </c>
      <c r="AJ39">
        <v>1</v>
      </c>
      <c r="AK39">
        <v>1</v>
      </c>
      <c r="AL39">
        <v>1</v>
      </c>
      <c r="AN39">
        <v>0</v>
      </c>
      <c r="AO39">
        <v>1</v>
      </c>
      <c r="AP39">
        <v>0</v>
      </c>
      <c r="AQ39">
        <v>0</v>
      </c>
      <c r="AR39">
        <v>0</v>
      </c>
      <c r="AS39" t="s">
        <v>2</v>
      </c>
      <c r="AT39">
        <v>0.02</v>
      </c>
      <c r="AU39" t="s">
        <v>2</v>
      </c>
      <c r="AV39">
        <v>0</v>
      </c>
      <c r="AW39">
        <v>2</v>
      </c>
      <c r="AX39">
        <v>224527600</v>
      </c>
      <c r="AY39">
        <v>1</v>
      </c>
      <c r="AZ39">
        <v>0</v>
      </c>
      <c r="BA39">
        <v>44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X39">
        <f>Y39*Source!I39</f>
        <v>1.916E-2</v>
      </c>
      <c r="CY39">
        <f>AB39</f>
        <v>89.99</v>
      </c>
      <c r="CZ39">
        <f>AF39</f>
        <v>89.99</v>
      </c>
      <c r="DA39">
        <f>AJ39</f>
        <v>1</v>
      </c>
      <c r="DB39">
        <f t="shared" si="4"/>
        <v>1.8</v>
      </c>
      <c r="DC39">
        <f t="shared" si="5"/>
        <v>0.2</v>
      </c>
    </row>
    <row r="40" spans="1:107" x14ac:dyDescent="0.2">
      <c r="A40">
        <f>ROW(Source!A39)</f>
        <v>39</v>
      </c>
      <c r="B40">
        <v>224527337</v>
      </c>
      <c r="C40">
        <v>224527597</v>
      </c>
      <c r="D40">
        <v>223058015</v>
      </c>
      <c r="E40">
        <v>1</v>
      </c>
      <c r="F40">
        <v>1</v>
      </c>
      <c r="G40">
        <v>1</v>
      </c>
      <c r="H40">
        <v>2</v>
      </c>
      <c r="I40" t="s">
        <v>613</v>
      </c>
      <c r="J40" t="s">
        <v>614</v>
      </c>
      <c r="K40" t="s">
        <v>615</v>
      </c>
      <c r="L40">
        <v>1367</v>
      </c>
      <c r="N40">
        <v>1011</v>
      </c>
      <c r="O40" t="s">
        <v>612</v>
      </c>
      <c r="P40" t="s">
        <v>612</v>
      </c>
      <c r="Q40">
        <v>1</v>
      </c>
      <c r="W40">
        <v>0</v>
      </c>
      <c r="X40">
        <v>1232162608</v>
      </c>
      <c r="Y40">
        <v>0.21</v>
      </c>
      <c r="AA40">
        <v>0</v>
      </c>
      <c r="AB40">
        <v>31.26</v>
      </c>
      <c r="AC40">
        <v>13.5</v>
      </c>
      <c r="AD40">
        <v>0</v>
      </c>
      <c r="AE40">
        <v>0</v>
      </c>
      <c r="AF40">
        <v>31.26</v>
      </c>
      <c r="AG40">
        <v>13.5</v>
      </c>
      <c r="AH40">
        <v>0</v>
      </c>
      <c r="AI40">
        <v>1</v>
      </c>
      <c r="AJ40">
        <v>1</v>
      </c>
      <c r="AK40">
        <v>1</v>
      </c>
      <c r="AL40">
        <v>1</v>
      </c>
      <c r="AN40">
        <v>0</v>
      </c>
      <c r="AO40">
        <v>1</v>
      </c>
      <c r="AP40">
        <v>0</v>
      </c>
      <c r="AQ40">
        <v>0</v>
      </c>
      <c r="AR40">
        <v>0</v>
      </c>
      <c r="AS40" t="s">
        <v>2</v>
      </c>
      <c r="AT40">
        <v>0.21</v>
      </c>
      <c r="AU40" t="s">
        <v>2</v>
      </c>
      <c r="AV40">
        <v>0</v>
      </c>
      <c r="AW40">
        <v>2</v>
      </c>
      <c r="AX40">
        <v>224527601</v>
      </c>
      <c r="AY40">
        <v>1</v>
      </c>
      <c r="AZ40">
        <v>0</v>
      </c>
      <c r="BA40">
        <v>45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X40">
        <f>Y40*Source!I39</f>
        <v>0.20118</v>
      </c>
      <c r="CY40">
        <f>AB40</f>
        <v>31.26</v>
      </c>
      <c r="CZ40">
        <f>AF40</f>
        <v>31.26</v>
      </c>
      <c r="DA40">
        <f>AJ40</f>
        <v>1</v>
      </c>
      <c r="DB40">
        <f t="shared" si="4"/>
        <v>6.56</v>
      </c>
      <c r="DC40">
        <f t="shared" si="5"/>
        <v>2.84</v>
      </c>
    </row>
    <row r="41" spans="1:107" x14ac:dyDescent="0.2">
      <c r="A41">
        <f>ROW(Source!A39)</f>
        <v>39</v>
      </c>
      <c r="B41">
        <v>224527337</v>
      </c>
      <c r="C41">
        <v>224527597</v>
      </c>
      <c r="D41">
        <v>223058138</v>
      </c>
      <c r="E41">
        <v>1</v>
      </c>
      <c r="F41">
        <v>1</v>
      </c>
      <c r="G41">
        <v>1</v>
      </c>
      <c r="H41">
        <v>2</v>
      </c>
      <c r="I41" t="s">
        <v>616</v>
      </c>
      <c r="J41" t="s">
        <v>617</v>
      </c>
      <c r="K41" t="s">
        <v>618</v>
      </c>
      <c r="L41">
        <v>1367</v>
      </c>
      <c r="N41">
        <v>1011</v>
      </c>
      <c r="O41" t="s">
        <v>612</v>
      </c>
      <c r="P41" t="s">
        <v>612</v>
      </c>
      <c r="Q41">
        <v>1</v>
      </c>
      <c r="W41">
        <v>0</v>
      </c>
      <c r="X41">
        <v>1385328552</v>
      </c>
      <c r="Y41">
        <v>0.71</v>
      </c>
      <c r="AA41">
        <v>0</v>
      </c>
      <c r="AB41">
        <v>12.39</v>
      </c>
      <c r="AC41">
        <v>10.06</v>
      </c>
      <c r="AD41">
        <v>0</v>
      </c>
      <c r="AE41">
        <v>0</v>
      </c>
      <c r="AF41">
        <v>12.39</v>
      </c>
      <c r="AG41">
        <v>10.06</v>
      </c>
      <c r="AH41">
        <v>0</v>
      </c>
      <c r="AI41">
        <v>1</v>
      </c>
      <c r="AJ41">
        <v>1</v>
      </c>
      <c r="AK41">
        <v>1</v>
      </c>
      <c r="AL41">
        <v>1</v>
      </c>
      <c r="AN41">
        <v>0</v>
      </c>
      <c r="AO41">
        <v>1</v>
      </c>
      <c r="AP41">
        <v>0</v>
      </c>
      <c r="AQ41">
        <v>0</v>
      </c>
      <c r="AR41">
        <v>0</v>
      </c>
      <c r="AS41" t="s">
        <v>2</v>
      </c>
      <c r="AT41">
        <v>0.71</v>
      </c>
      <c r="AU41" t="s">
        <v>2</v>
      </c>
      <c r="AV41">
        <v>0</v>
      </c>
      <c r="AW41">
        <v>2</v>
      </c>
      <c r="AX41">
        <v>224527602</v>
      </c>
      <c r="AY41">
        <v>1</v>
      </c>
      <c r="AZ41">
        <v>0</v>
      </c>
      <c r="BA41">
        <v>46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X41">
        <f>Y41*Source!I39</f>
        <v>0.6801799999999999</v>
      </c>
      <c r="CY41">
        <f>AB41</f>
        <v>12.39</v>
      </c>
      <c r="CZ41">
        <f>AF41</f>
        <v>12.39</v>
      </c>
      <c r="DA41">
        <f>AJ41</f>
        <v>1</v>
      </c>
      <c r="DB41">
        <f t="shared" si="4"/>
        <v>8.8000000000000007</v>
      </c>
      <c r="DC41">
        <f t="shared" si="5"/>
        <v>7.14</v>
      </c>
    </row>
    <row r="42" spans="1:107" x14ac:dyDescent="0.2">
      <c r="A42">
        <f>ROW(Source!A39)</f>
        <v>39</v>
      </c>
      <c r="B42">
        <v>224527337</v>
      </c>
      <c r="C42">
        <v>224527597</v>
      </c>
      <c r="D42">
        <v>222908451</v>
      </c>
      <c r="E42">
        <v>1</v>
      </c>
      <c r="F42">
        <v>1</v>
      </c>
      <c r="G42">
        <v>1</v>
      </c>
      <c r="H42">
        <v>3</v>
      </c>
      <c r="I42" t="s">
        <v>619</v>
      </c>
      <c r="J42" t="s">
        <v>620</v>
      </c>
      <c r="K42" t="s">
        <v>621</v>
      </c>
      <c r="L42">
        <v>1339</v>
      </c>
      <c r="N42">
        <v>1007</v>
      </c>
      <c r="O42" t="s">
        <v>215</v>
      </c>
      <c r="P42" t="s">
        <v>215</v>
      </c>
      <c r="Q42">
        <v>1</v>
      </c>
      <c r="W42">
        <v>0</v>
      </c>
      <c r="X42">
        <v>-143474561</v>
      </c>
      <c r="Y42">
        <v>0.51300000000000001</v>
      </c>
      <c r="AA42">
        <v>2.44</v>
      </c>
      <c r="AB42">
        <v>0</v>
      </c>
      <c r="AC42">
        <v>0</v>
      </c>
      <c r="AD42">
        <v>0</v>
      </c>
      <c r="AE42">
        <v>2.44</v>
      </c>
      <c r="AF42">
        <v>0</v>
      </c>
      <c r="AG42">
        <v>0</v>
      </c>
      <c r="AH42">
        <v>0</v>
      </c>
      <c r="AI42">
        <v>1</v>
      </c>
      <c r="AJ42">
        <v>1</v>
      </c>
      <c r="AK42">
        <v>1</v>
      </c>
      <c r="AL42">
        <v>1</v>
      </c>
      <c r="AN42">
        <v>0</v>
      </c>
      <c r="AO42">
        <v>1</v>
      </c>
      <c r="AP42">
        <v>0</v>
      </c>
      <c r="AQ42">
        <v>0</v>
      </c>
      <c r="AR42">
        <v>0</v>
      </c>
      <c r="AS42" t="s">
        <v>2</v>
      </c>
      <c r="AT42">
        <v>0.51300000000000001</v>
      </c>
      <c r="AU42" t="s">
        <v>2</v>
      </c>
      <c r="AV42">
        <v>0</v>
      </c>
      <c r="AW42">
        <v>2</v>
      </c>
      <c r="AX42">
        <v>224527603</v>
      </c>
      <c r="AY42">
        <v>1</v>
      </c>
      <c r="AZ42">
        <v>0</v>
      </c>
      <c r="BA42">
        <v>47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X42">
        <f>Y42*Source!I39</f>
        <v>0.491454</v>
      </c>
      <c r="CY42">
        <f>AA42</f>
        <v>2.44</v>
      </c>
      <c r="CZ42">
        <f>AE42</f>
        <v>2.44</v>
      </c>
      <c r="DA42">
        <f>AI42</f>
        <v>1</v>
      </c>
      <c r="DB42">
        <f t="shared" si="4"/>
        <v>1.25</v>
      </c>
      <c r="DC42">
        <f t="shared" si="5"/>
        <v>0</v>
      </c>
    </row>
    <row r="43" spans="1:107" x14ac:dyDescent="0.2">
      <c r="A43">
        <f>ROW(Source!A42)</f>
        <v>42</v>
      </c>
      <c r="B43">
        <v>224527337</v>
      </c>
      <c r="C43">
        <v>224527767</v>
      </c>
      <c r="D43">
        <v>222895971</v>
      </c>
      <c r="E43">
        <v>70</v>
      </c>
      <c r="F43">
        <v>1</v>
      </c>
      <c r="G43">
        <v>1</v>
      </c>
      <c r="H43">
        <v>1</v>
      </c>
      <c r="I43" t="s">
        <v>622</v>
      </c>
      <c r="J43" t="s">
        <v>2</v>
      </c>
      <c r="K43" t="s">
        <v>623</v>
      </c>
      <c r="L43">
        <v>1191</v>
      </c>
      <c r="N43">
        <v>74472246</v>
      </c>
      <c r="O43" t="s">
        <v>600</v>
      </c>
      <c r="P43" t="s">
        <v>600</v>
      </c>
      <c r="Q43">
        <v>1</v>
      </c>
      <c r="W43">
        <v>0</v>
      </c>
      <c r="X43">
        <v>-112797078</v>
      </c>
      <c r="Y43">
        <v>19.043999999999997</v>
      </c>
      <c r="AA43">
        <v>0</v>
      </c>
      <c r="AB43">
        <v>0</v>
      </c>
      <c r="AC43">
        <v>0</v>
      </c>
      <c r="AD43">
        <v>8.9700000000000006</v>
      </c>
      <c r="AE43">
        <v>0</v>
      </c>
      <c r="AF43">
        <v>0</v>
      </c>
      <c r="AG43">
        <v>0</v>
      </c>
      <c r="AH43">
        <v>8.9700000000000006</v>
      </c>
      <c r="AI43">
        <v>1</v>
      </c>
      <c r="AJ43">
        <v>1</v>
      </c>
      <c r="AK43">
        <v>1</v>
      </c>
      <c r="AL43">
        <v>1</v>
      </c>
      <c r="AN43">
        <v>0</v>
      </c>
      <c r="AO43">
        <v>1</v>
      </c>
      <c r="AP43">
        <v>1</v>
      </c>
      <c r="AQ43">
        <v>0</v>
      </c>
      <c r="AR43">
        <v>0</v>
      </c>
      <c r="AS43" t="s">
        <v>2</v>
      </c>
      <c r="AT43">
        <v>13.8</v>
      </c>
      <c r="AU43" t="s">
        <v>85</v>
      </c>
      <c r="AV43">
        <v>1</v>
      </c>
      <c r="AW43">
        <v>2</v>
      </c>
      <c r="AX43">
        <v>224527777</v>
      </c>
      <c r="AY43">
        <v>1</v>
      </c>
      <c r="AZ43">
        <v>0</v>
      </c>
      <c r="BA43">
        <v>50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X43">
        <f>Y43*Source!I42</f>
        <v>18.244151999999996</v>
      </c>
      <c r="CY43">
        <f>AD43</f>
        <v>8.9700000000000006</v>
      </c>
      <c r="CZ43">
        <f>AH43</f>
        <v>8.9700000000000006</v>
      </c>
      <c r="DA43">
        <f>AL43</f>
        <v>1</v>
      </c>
      <c r="DB43">
        <f>ROUND(((ROUND(AT43*CZ43,2)*1.15)*1.2),2)</f>
        <v>170.83</v>
      </c>
      <c r="DC43">
        <f>ROUND(((ROUND(AT43*AG43,2)*1.15)*1.2),2)</f>
        <v>0</v>
      </c>
    </row>
    <row r="44" spans="1:107" x14ac:dyDescent="0.2">
      <c r="A44">
        <f>ROW(Source!A42)</f>
        <v>42</v>
      </c>
      <c r="B44">
        <v>224527337</v>
      </c>
      <c r="C44">
        <v>224527767</v>
      </c>
      <c r="D44">
        <v>222896153</v>
      </c>
      <c r="E44">
        <v>70</v>
      </c>
      <c r="F44">
        <v>1</v>
      </c>
      <c r="G44">
        <v>1</v>
      </c>
      <c r="H44">
        <v>1</v>
      </c>
      <c r="I44" t="s">
        <v>607</v>
      </c>
      <c r="J44" t="s">
        <v>2</v>
      </c>
      <c r="K44" t="s">
        <v>608</v>
      </c>
      <c r="L44">
        <v>1191</v>
      </c>
      <c r="N44">
        <v>74472246</v>
      </c>
      <c r="O44" t="s">
        <v>600</v>
      </c>
      <c r="P44" t="s">
        <v>600</v>
      </c>
      <c r="Q44">
        <v>1</v>
      </c>
      <c r="W44">
        <v>0</v>
      </c>
      <c r="X44">
        <v>-1417349443</v>
      </c>
      <c r="Y44">
        <v>0.13499999999999998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1</v>
      </c>
      <c r="AJ44">
        <v>1</v>
      </c>
      <c r="AK44">
        <v>1</v>
      </c>
      <c r="AL44">
        <v>1</v>
      </c>
      <c r="AN44">
        <v>0</v>
      </c>
      <c r="AO44">
        <v>1</v>
      </c>
      <c r="AP44">
        <v>1</v>
      </c>
      <c r="AQ44">
        <v>0</v>
      </c>
      <c r="AR44">
        <v>0</v>
      </c>
      <c r="AS44" t="s">
        <v>2</v>
      </c>
      <c r="AT44">
        <v>0.09</v>
      </c>
      <c r="AU44" t="s">
        <v>65</v>
      </c>
      <c r="AV44">
        <v>2</v>
      </c>
      <c r="AW44">
        <v>2</v>
      </c>
      <c r="AX44">
        <v>224527778</v>
      </c>
      <c r="AY44">
        <v>1</v>
      </c>
      <c r="AZ44">
        <v>0</v>
      </c>
      <c r="BA44">
        <v>51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X44">
        <f>Y44*Source!I42</f>
        <v>0.12932999999999997</v>
      </c>
      <c r="CY44">
        <f>AD44</f>
        <v>0</v>
      </c>
      <c r="CZ44">
        <f>AH44</f>
        <v>0</v>
      </c>
      <c r="DA44">
        <f>AL44</f>
        <v>1</v>
      </c>
      <c r="DB44">
        <f>ROUND(((ROUND(AT44*CZ44,2)*1.25)*1.2),2)</f>
        <v>0</v>
      </c>
      <c r="DC44">
        <f>ROUND(((ROUND(AT44*AG44,2)*1.25)*1.2),2)</f>
        <v>0</v>
      </c>
    </row>
    <row r="45" spans="1:107" x14ac:dyDescent="0.2">
      <c r="A45">
        <f>ROW(Source!A42)</f>
        <v>42</v>
      </c>
      <c r="B45">
        <v>224527337</v>
      </c>
      <c r="C45">
        <v>224527767</v>
      </c>
      <c r="D45">
        <v>223058015</v>
      </c>
      <c r="E45">
        <v>1</v>
      </c>
      <c r="F45">
        <v>1</v>
      </c>
      <c r="G45">
        <v>1</v>
      </c>
      <c r="H45">
        <v>2</v>
      </c>
      <c r="I45" t="s">
        <v>613</v>
      </c>
      <c r="J45" t="s">
        <v>614</v>
      </c>
      <c r="K45" t="s">
        <v>615</v>
      </c>
      <c r="L45">
        <v>1367</v>
      </c>
      <c r="N45">
        <v>1011</v>
      </c>
      <c r="O45" t="s">
        <v>612</v>
      </c>
      <c r="P45" t="s">
        <v>612</v>
      </c>
      <c r="Q45">
        <v>1</v>
      </c>
      <c r="W45">
        <v>0</v>
      </c>
      <c r="X45">
        <v>1232162608</v>
      </c>
      <c r="Y45">
        <v>1.4999999999999999E-2</v>
      </c>
      <c r="AA45">
        <v>0</v>
      </c>
      <c r="AB45">
        <v>31.26</v>
      </c>
      <c r="AC45">
        <v>13.5</v>
      </c>
      <c r="AD45">
        <v>0</v>
      </c>
      <c r="AE45">
        <v>0</v>
      </c>
      <c r="AF45">
        <v>31.26</v>
      </c>
      <c r="AG45">
        <v>13.5</v>
      </c>
      <c r="AH45">
        <v>0</v>
      </c>
      <c r="AI45">
        <v>1</v>
      </c>
      <c r="AJ45">
        <v>1</v>
      </c>
      <c r="AK45">
        <v>1</v>
      </c>
      <c r="AL45">
        <v>1</v>
      </c>
      <c r="AN45">
        <v>0</v>
      </c>
      <c r="AO45">
        <v>1</v>
      </c>
      <c r="AP45">
        <v>1</v>
      </c>
      <c r="AQ45">
        <v>0</v>
      </c>
      <c r="AR45">
        <v>0</v>
      </c>
      <c r="AS45" t="s">
        <v>2</v>
      </c>
      <c r="AT45">
        <v>0.01</v>
      </c>
      <c r="AU45" t="s">
        <v>65</v>
      </c>
      <c r="AV45">
        <v>0</v>
      </c>
      <c r="AW45">
        <v>2</v>
      </c>
      <c r="AX45">
        <v>224527779</v>
      </c>
      <c r="AY45">
        <v>1</v>
      </c>
      <c r="AZ45">
        <v>0</v>
      </c>
      <c r="BA45">
        <v>52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X45">
        <f>Y45*Source!I42</f>
        <v>1.4369999999999999E-2</v>
      </c>
      <c r="CY45">
        <f>AB45</f>
        <v>31.26</v>
      </c>
      <c r="CZ45">
        <f>AF45</f>
        <v>31.26</v>
      </c>
      <c r="DA45">
        <f>AJ45</f>
        <v>1</v>
      </c>
      <c r="DB45">
        <f>ROUND(((ROUND(AT45*CZ45,2)*1.25)*1.2),2)</f>
        <v>0.47</v>
      </c>
      <c r="DC45">
        <f>ROUND(((ROUND(AT45*AG45,2)*1.25)*1.2),2)</f>
        <v>0.21</v>
      </c>
    </row>
    <row r="46" spans="1:107" x14ac:dyDescent="0.2">
      <c r="A46">
        <f>ROW(Source!A42)</f>
        <v>42</v>
      </c>
      <c r="B46">
        <v>224527337</v>
      </c>
      <c r="C46">
        <v>224527767</v>
      </c>
      <c r="D46">
        <v>223058751</v>
      </c>
      <c r="E46">
        <v>1</v>
      </c>
      <c r="F46">
        <v>1</v>
      </c>
      <c r="G46">
        <v>1</v>
      </c>
      <c r="H46">
        <v>2</v>
      </c>
      <c r="I46" t="s">
        <v>624</v>
      </c>
      <c r="J46" t="s">
        <v>625</v>
      </c>
      <c r="K46" t="s">
        <v>626</v>
      </c>
      <c r="L46">
        <v>1367</v>
      </c>
      <c r="N46">
        <v>1011</v>
      </c>
      <c r="O46" t="s">
        <v>612</v>
      </c>
      <c r="P46" t="s">
        <v>612</v>
      </c>
      <c r="Q46">
        <v>1</v>
      </c>
      <c r="W46">
        <v>0</v>
      </c>
      <c r="X46">
        <v>509054691</v>
      </c>
      <c r="Y46">
        <v>0.12</v>
      </c>
      <c r="AA46">
        <v>0</v>
      </c>
      <c r="AB46">
        <v>65.709999999999994</v>
      </c>
      <c r="AC46">
        <v>11.6</v>
      </c>
      <c r="AD46">
        <v>0</v>
      </c>
      <c r="AE46">
        <v>0</v>
      </c>
      <c r="AF46">
        <v>65.709999999999994</v>
      </c>
      <c r="AG46">
        <v>11.6</v>
      </c>
      <c r="AH46">
        <v>0</v>
      </c>
      <c r="AI46">
        <v>1</v>
      </c>
      <c r="AJ46">
        <v>1</v>
      </c>
      <c r="AK46">
        <v>1</v>
      </c>
      <c r="AL46">
        <v>1</v>
      </c>
      <c r="AN46">
        <v>0</v>
      </c>
      <c r="AO46">
        <v>1</v>
      </c>
      <c r="AP46">
        <v>1</v>
      </c>
      <c r="AQ46">
        <v>0</v>
      </c>
      <c r="AR46">
        <v>0</v>
      </c>
      <c r="AS46" t="s">
        <v>2</v>
      </c>
      <c r="AT46">
        <v>0.08</v>
      </c>
      <c r="AU46" t="s">
        <v>65</v>
      </c>
      <c r="AV46">
        <v>0</v>
      </c>
      <c r="AW46">
        <v>2</v>
      </c>
      <c r="AX46">
        <v>224527780</v>
      </c>
      <c r="AY46">
        <v>1</v>
      </c>
      <c r="AZ46">
        <v>0</v>
      </c>
      <c r="BA46">
        <v>53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X46">
        <f>Y46*Source!I42</f>
        <v>0.11495999999999999</v>
      </c>
      <c r="CY46">
        <f>AB46</f>
        <v>65.709999999999994</v>
      </c>
      <c r="CZ46">
        <f>AF46</f>
        <v>65.709999999999994</v>
      </c>
      <c r="DA46">
        <f>AJ46</f>
        <v>1</v>
      </c>
      <c r="DB46">
        <f>ROUND(((ROUND(AT46*CZ46,2)*1.25)*1.2),2)</f>
        <v>7.89</v>
      </c>
      <c r="DC46">
        <f>ROUND(((ROUND(AT46*AG46,2)*1.25)*1.2),2)</f>
        <v>1.4</v>
      </c>
    </row>
    <row r="47" spans="1:107" x14ac:dyDescent="0.2">
      <c r="A47">
        <f>ROW(Source!A42)</f>
        <v>42</v>
      </c>
      <c r="B47">
        <v>224527337</v>
      </c>
      <c r="C47">
        <v>224527767</v>
      </c>
      <c r="D47">
        <v>222911579</v>
      </c>
      <c r="E47">
        <v>1</v>
      </c>
      <c r="F47">
        <v>1</v>
      </c>
      <c r="G47">
        <v>1</v>
      </c>
      <c r="H47">
        <v>3</v>
      </c>
      <c r="I47" t="s">
        <v>627</v>
      </c>
      <c r="J47" t="s">
        <v>628</v>
      </c>
      <c r="K47" t="s">
        <v>629</v>
      </c>
      <c r="L47">
        <v>1327</v>
      </c>
      <c r="N47">
        <v>1005</v>
      </c>
      <c r="O47" t="s">
        <v>73</v>
      </c>
      <c r="P47" t="s">
        <v>73</v>
      </c>
      <c r="Q47">
        <v>1</v>
      </c>
      <c r="W47">
        <v>0</v>
      </c>
      <c r="X47">
        <v>105551837</v>
      </c>
      <c r="Y47">
        <v>0.3</v>
      </c>
      <c r="AA47">
        <v>72.319999999999993</v>
      </c>
      <c r="AB47">
        <v>0</v>
      </c>
      <c r="AC47">
        <v>0</v>
      </c>
      <c r="AD47">
        <v>0</v>
      </c>
      <c r="AE47">
        <v>72.319999999999993</v>
      </c>
      <c r="AF47">
        <v>0</v>
      </c>
      <c r="AG47">
        <v>0</v>
      </c>
      <c r="AH47">
        <v>0</v>
      </c>
      <c r="AI47">
        <v>1</v>
      </c>
      <c r="AJ47">
        <v>1</v>
      </c>
      <c r="AK47">
        <v>1</v>
      </c>
      <c r="AL47">
        <v>1</v>
      </c>
      <c r="AN47">
        <v>0</v>
      </c>
      <c r="AO47">
        <v>1</v>
      </c>
      <c r="AP47">
        <v>0</v>
      </c>
      <c r="AQ47">
        <v>0</v>
      </c>
      <c r="AR47">
        <v>0</v>
      </c>
      <c r="AS47" t="s">
        <v>2</v>
      </c>
      <c r="AT47">
        <v>0.3</v>
      </c>
      <c r="AU47" t="s">
        <v>2</v>
      </c>
      <c r="AV47">
        <v>0</v>
      </c>
      <c r="AW47">
        <v>2</v>
      </c>
      <c r="AX47">
        <v>224527781</v>
      </c>
      <c r="AY47">
        <v>1</v>
      </c>
      <c r="AZ47">
        <v>0</v>
      </c>
      <c r="BA47">
        <v>54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CX47">
        <f>Y47*Source!I42</f>
        <v>0.28739999999999999</v>
      </c>
      <c r="CY47">
        <f>AA47</f>
        <v>72.319999999999993</v>
      </c>
      <c r="CZ47">
        <f>AE47</f>
        <v>72.319999999999993</v>
      </c>
      <c r="DA47">
        <f>AI47</f>
        <v>1</v>
      </c>
      <c r="DB47">
        <f>ROUND(ROUND(AT47*CZ47,2),2)</f>
        <v>21.7</v>
      </c>
      <c r="DC47">
        <f>ROUND(ROUND(AT47*AG47,2),2)</f>
        <v>0</v>
      </c>
    </row>
    <row r="48" spans="1:107" x14ac:dyDescent="0.2">
      <c r="A48">
        <f>ROW(Source!A42)</f>
        <v>42</v>
      </c>
      <c r="B48">
        <v>224527337</v>
      </c>
      <c r="C48">
        <v>224527767</v>
      </c>
      <c r="D48">
        <v>222911928</v>
      </c>
      <c r="E48">
        <v>1</v>
      </c>
      <c r="F48">
        <v>1</v>
      </c>
      <c r="G48">
        <v>1</v>
      </c>
      <c r="H48">
        <v>3</v>
      </c>
      <c r="I48" t="s">
        <v>630</v>
      </c>
      <c r="J48" t="s">
        <v>631</v>
      </c>
      <c r="K48" t="s">
        <v>632</v>
      </c>
      <c r="L48">
        <v>1346</v>
      </c>
      <c r="N48">
        <v>1009</v>
      </c>
      <c r="O48" t="s">
        <v>33</v>
      </c>
      <c r="P48" t="s">
        <v>33</v>
      </c>
      <c r="Q48">
        <v>1</v>
      </c>
      <c r="W48">
        <v>0</v>
      </c>
      <c r="X48">
        <v>1052716416</v>
      </c>
      <c r="Y48">
        <v>0.1</v>
      </c>
      <c r="AA48">
        <v>1.82</v>
      </c>
      <c r="AB48">
        <v>0</v>
      </c>
      <c r="AC48">
        <v>0</v>
      </c>
      <c r="AD48">
        <v>0</v>
      </c>
      <c r="AE48">
        <v>1.82</v>
      </c>
      <c r="AF48">
        <v>0</v>
      </c>
      <c r="AG48">
        <v>0</v>
      </c>
      <c r="AH48">
        <v>0</v>
      </c>
      <c r="AI48">
        <v>1</v>
      </c>
      <c r="AJ48">
        <v>1</v>
      </c>
      <c r="AK48">
        <v>1</v>
      </c>
      <c r="AL48">
        <v>1</v>
      </c>
      <c r="AN48">
        <v>0</v>
      </c>
      <c r="AO48">
        <v>1</v>
      </c>
      <c r="AP48">
        <v>0</v>
      </c>
      <c r="AQ48">
        <v>0</v>
      </c>
      <c r="AR48">
        <v>0</v>
      </c>
      <c r="AS48" t="s">
        <v>2</v>
      </c>
      <c r="AT48">
        <v>0.1</v>
      </c>
      <c r="AU48" t="s">
        <v>2</v>
      </c>
      <c r="AV48">
        <v>0</v>
      </c>
      <c r="AW48">
        <v>2</v>
      </c>
      <c r="AX48">
        <v>224527782</v>
      </c>
      <c r="AY48">
        <v>1</v>
      </c>
      <c r="AZ48">
        <v>0</v>
      </c>
      <c r="BA48">
        <v>55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X48">
        <f>Y48*Source!I42</f>
        <v>9.5799999999999996E-2</v>
      </c>
      <c r="CY48">
        <f>AA48</f>
        <v>1.82</v>
      </c>
      <c r="CZ48">
        <f>AE48</f>
        <v>1.82</v>
      </c>
      <c r="DA48">
        <f>AI48</f>
        <v>1</v>
      </c>
      <c r="DB48">
        <f>ROUND(ROUND(AT48*CZ48,2),2)</f>
        <v>0.18</v>
      </c>
      <c r="DC48">
        <f>ROUND(ROUND(AT48*AG48,2),2)</f>
        <v>0</v>
      </c>
    </row>
    <row r="49" spans="1:107" x14ac:dyDescent="0.2">
      <c r="A49">
        <f>ROW(Source!A42)</f>
        <v>42</v>
      </c>
      <c r="B49">
        <v>224527337</v>
      </c>
      <c r="C49">
        <v>224527767</v>
      </c>
      <c r="D49">
        <v>222940670</v>
      </c>
      <c r="E49">
        <v>1</v>
      </c>
      <c r="F49">
        <v>1</v>
      </c>
      <c r="G49">
        <v>1</v>
      </c>
      <c r="H49">
        <v>3</v>
      </c>
      <c r="I49" t="s">
        <v>633</v>
      </c>
      <c r="J49" t="s">
        <v>634</v>
      </c>
      <c r="K49" t="s">
        <v>635</v>
      </c>
      <c r="L49">
        <v>1348</v>
      </c>
      <c r="N49">
        <v>1009</v>
      </c>
      <c r="O49" t="s">
        <v>18</v>
      </c>
      <c r="P49" t="s">
        <v>18</v>
      </c>
      <c r="Q49">
        <v>1000</v>
      </c>
      <c r="W49">
        <v>0</v>
      </c>
      <c r="X49">
        <v>-1516654830</v>
      </c>
      <c r="Y49">
        <v>5.0000000000000001E-3</v>
      </c>
      <c r="AA49">
        <v>4294</v>
      </c>
      <c r="AB49">
        <v>0</v>
      </c>
      <c r="AC49">
        <v>0</v>
      </c>
      <c r="AD49">
        <v>0</v>
      </c>
      <c r="AE49">
        <v>4294</v>
      </c>
      <c r="AF49">
        <v>0</v>
      </c>
      <c r="AG49">
        <v>0</v>
      </c>
      <c r="AH49">
        <v>0</v>
      </c>
      <c r="AI49">
        <v>1</v>
      </c>
      <c r="AJ49">
        <v>1</v>
      </c>
      <c r="AK49">
        <v>1</v>
      </c>
      <c r="AL49">
        <v>1</v>
      </c>
      <c r="AN49">
        <v>0</v>
      </c>
      <c r="AO49">
        <v>1</v>
      </c>
      <c r="AP49">
        <v>0</v>
      </c>
      <c r="AQ49">
        <v>0</v>
      </c>
      <c r="AR49">
        <v>0</v>
      </c>
      <c r="AS49" t="s">
        <v>2</v>
      </c>
      <c r="AT49">
        <v>5.0000000000000001E-3</v>
      </c>
      <c r="AU49" t="s">
        <v>2</v>
      </c>
      <c r="AV49">
        <v>0</v>
      </c>
      <c r="AW49">
        <v>2</v>
      </c>
      <c r="AX49">
        <v>224527784</v>
      </c>
      <c r="AY49">
        <v>1</v>
      </c>
      <c r="AZ49">
        <v>0</v>
      </c>
      <c r="BA49">
        <v>57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CX49">
        <f>Y49*Source!I42</f>
        <v>4.79E-3</v>
      </c>
      <c r="CY49">
        <f>AA49</f>
        <v>4294</v>
      </c>
      <c r="CZ49">
        <f>AE49</f>
        <v>4294</v>
      </c>
      <c r="DA49">
        <f>AI49</f>
        <v>1</v>
      </c>
      <c r="DB49">
        <f>ROUND(ROUND(AT49*CZ49,2),2)</f>
        <v>21.47</v>
      </c>
      <c r="DC49">
        <f>ROUND(ROUND(AT49*AG49,2),2)</f>
        <v>0</v>
      </c>
    </row>
    <row r="50" spans="1:107" x14ac:dyDescent="0.2">
      <c r="A50">
        <f>ROW(Source!A44)</f>
        <v>44</v>
      </c>
      <c r="B50">
        <v>224527337</v>
      </c>
      <c r="C50">
        <v>224527715</v>
      </c>
      <c r="D50">
        <v>222895963</v>
      </c>
      <c r="E50">
        <v>70</v>
      </c>
      <c r="F50">
        <v>1</v>
      </c>
      <c r="G50">
        <v>1</v>
      </c>
      <c r="H50">
        <v>1</v>
      </c>
      <c r="I50" t="s">
        <v>647</v>
      </c>
      <c r="J50" t="s">
        <v>2</v>
      </c>
      <c r="K50" t="s">
        <v>648</v>
      </c>
      <c r="L50">
        <v>1191</v>
      </c>
      <c r="N50">
        <v>74472246</v>
      </c>
      <c r="O50" t="s">
        <v>600</v>
      </c>
      <c r="P50" t="s">
        <v>600</v>
      </c>
      <c r="Q50">
        <v>1</v>
      </c>
      <c r="W50">
        <v>0</v>
      </c>
      <c r="X50">
        <v>1049124552</v>
      </c>
      <c r="Y50">
        <v>40.700000000000003</v>
      </c>
      <c r="AA50">
        <v>0</v>
      </c>
      <c r="AB50">
        <v>0</v>
      </c>
      <c r="AC50">
        <v>0</v>
      </c>
      <c r="AD50">
        <v>8.5299999999999994</v>
      </c>
      <c r="AE50">
        <v>0</v>
      </c>
      <c r="AF50">
        <v>0</v>
      </c>
      <c r="AG50">
        <v>0</v>
      </c>
      <c r="AH50">
        <v>8.5299999999999994</v>
      </c>
      <c r="AI50">
        <v>1</v>
      </c>
      <c r="AJ50">
        <v>1</v>
      </c>
      <c r="AK50">
        <v>1</v>
      </c>
      <c r="AL50">
        <v>1</v>
      </c>
      <c r="AN50">
        <v>0</v>
      </c>
      <c r="AO50">
        <v>1</v>
      </c>
      <c r="AP50">
        <v>1</v>
      </c>
      <c r="AQ50">
        <v>0</v>
      </c>
      <c r="AR50">
        <v>0</v>
      </c>
      <c r="AS50" t="s">
        <v>2</v>
      </c>
      <c r="AT50">
        <v>37</v>
      </c>
      <c r="AU50" t="s">
        <v>103</v>
      </c>
      <c r="AV50">
        <v>1</v>
      </c>
      <c r="AW50">
        <v>2</v>
      </c>
      <c r="AX50">
        <v>224527756</v>
      </c>
      <c r="AY50">
        <v>1</v>
      </c>
      <c r="AZ50">
        <v>0</v>
      </c>
      <c r="BA50">
        <v>58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X50">
        <f>Y50*Source!I44</f>
        <v>4.6398000000000001</v>
      </c>
      <c r="CY50">
        <f>AD50</f>
        <v>8.5299999999999994</v>
      </c>
      <c r="CZ50">
        <f>AH50</f>
        <v>8.5299999999999994</v>
      </c>
      <c r="DA50">
        <f>AL50</f>
        <v>1</v>
      </c>
      <c r="DB50">
        <f>ROUND((ROUND(AT50*CZ50,2)*1.1),2)</f>
        <v>347.17</v>
      </c>
      <c r="DC50">
        <f>ROUND((ROUND(AT50*AG50,2)*1.1),2)</f>
        <v>0</v>
      </c>
    </row>
    <row r="51" spans="1:107" x14ac:dyDescent="0.2">
      <c r="A51">
        <f>ROW(Source!A44)</f>
        <v>44</v>
      </c>
      <c r="B51">
        <v>224527337</v>
      </c>
      <c r="C51">
        <v>224527715</v>
      </c>
      <c r="D51">
        <v>222896153</v>
      </c>
      <c r="E51">
        <v>70</v>
      </c>
      <c r="F51">
        <v>1</v>
      </c>
      <c r="G51">
        <v>1</v>
      </c>
      <c r="H51">
        <v>1</v>
      </c>
      <c r="I51" t="s">
        <v>607</v>
      </c>
      <c r="J51" t="s">
        <v>2</v>
      </c>
      <c r="K51" t="s">
        <v>608</v>
      </c>
      <c r="L51">
        <v>1191</v>
      </c>
      <c r="N51">
        <v>74472246</v>
      </c>
      <c r="O51" t="s">
        <v>600</v>
      </c>
      <c r="P51" t="s">
        <v>600</v>
      </c>
      <c r="Q51">
        <v>1</v>
      </c>
      <c r="W51">
        <v>0</v>
      </c>
      <c r="X51">
        <v>-1417349443</v>
      </c>
      <c r="Y51">
        <v>0.75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1</v>
      </c>
      <c r="AJ51">
        <v>1</v>
      </c>
      <c r="AK51">
        <v>1</v>
      </c>
      <c r="AL51">
        <v>1</v>
      </c>
      <c r="AN51">
        <v>0</v>
      </c>
      <c r="AO51">
        <v>1</v>
      </c>
      <c r="AP51">
        <v>0</v>
      </c>
      <c r="AQ51">
        <v>0</v>
      </c>
      <c r="AR51">
        <v>0</v>
      </c>
      <c r="AS51" t="s">
        <v>2</v>
      </c>
      <c r="AT51">
        <v>0.75</v>
      </c>
      <c r="AU51" t="s">
        <v>2</v>
      </c>
      <c r="AV51">
        <v>2</v>
      </c>
      <c r="AW51">
        <v>2</v>
      </c>
      <c r="AX51">
        <v>224527757</v>
      </c>
      <c r="AY51">
        <v>1</v>
      </c>
      <c r="AZ51">
        <v>0</v>
      </c>
      <c r="BA51">
        <v>59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CX51">
        <f>Y51*Source!I44</f>
        <v>8.5500000000000007E-2</v>
      </c>
      <c r="CY51">
        <f>AD51</f>
        <v>0</v>
      </c>
      <c r="CZ51">
        <f>AH51</f>
        <v>0</v>
      </c>
      <c r="DA51">
        <f>AL51</f>
        <v>1</v>
      </c>
      <c r="DB51">
        <f>ROUND(ROUND(AT51*CZ51,2),2)</f>
        <v>0</v>
      </c>
      <c r="DC51">
        <f>ROUND(ROUND(AT51*AG51,2),2)</f>
        <v>0</v>
      </c>
    </row>
    <row r="52" spans="1:107" x14ac:dyDescent="0.2">
      <c r="A52">
        <f>ROW(Source!A44)</f>
        <v>44</v>
      </c>
      <c r="B52">
        <v>224527337</v>
      </c>
      <c r="C52">
        <v>224527715</v>
      </c>
      <c r="D52">
        <v>223058015</v>
      </c>
      <c r="E52">
        <v>1</v>
      </c>
      <c r="F52">
        <v>1</v>
      </c>
      <c r="G52">
        <v>1</v>
      </c>
      <c r="H52">
        <v>2</v>
      </c>
      <c r="I52" t="s">
        <v>613</v>
      </c>
      <c r="J52" t="s">
        <v>614</v>
      </c>
      <c r="K52" t="s">
        <v>615</v>
      </c>
      <c r="L52">
        <v>1367</v>
      </c>
      <c r="N52">
        <v>1011</v>
      </c>
      <c r="O52" t="s">
        <v>612</v>
      </c>
      <c r="P52" t="s">
        <v>612</v>
      </c>
      <c r="Q52">
        <v>1</v>
      </c>
      <c r="W52">
        <v>0</v>
      </c>
      <c r="X52">
        <v>1232162608</v>
      </c>
      <c r="Y52">
        <v>0.75</v>
      </c>
      <c r="AA52">
        <v>0</v>
      </c>
      <c r="AB52">
        <v>31.26</v>
      </c>
      <c r="AC52">
        <v>13.5</v>
      </c>
      <c r="AD52">
        <v>0</v>
      </c>
      <c r="AE52">
        <v>0</v>
      </c>
      <c r="AF52">
        <v>31.26</v>
      </c>
      <c r="AG52">
        <v>13.5</v>
      </c>
      <c r="AH52">
        <v>0</v>
      </c>
      <c r="AI52">
        <v>1</v>
      </c>
      <c r="AJ52">
        <v>1</v>
      </c>
      <c r="AK52">
        <v>1</v>
      </c>
      <c r="AL52">
        <v>1</v>
      </c>
      <c r="AN52">
        <v>0</v>
      </c>
      <c r="AO52">
        <v>1</v>
      </c>
      <c r="AP52">
        <v>0</v>
      </c>
      <c r="AQ52">
        <v>0</v>
      </c>
      <c r="AR52">
        <v>0</v>
      </c>
      <c r="AS52" t="s">
        <v>2</v>
      </c>
      <c r="AT52">
        <v>0.75</v>
      </c>
      <c r="AU52" t="s">
        <v>2</v>
      </c>
      <c r="AV52">
        <v>0</v>
      </c>
      <c r="AW52">
        <v>2</v>
      </c>
      <c r="AX52">
        <v>224527758</v>
      </c>
      <c r="AY52">
        <v>1</v>
      </c>
      <c r="AZ52">
        <v>0</v>
      </c>
      <c r="BA52">
        <v>60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CX52">
        <f>Y52*Source!I44</f>
        <v>8.5500000000000007E-2</v>
      </c>
      <c r="CY52">
        <f>AB52</f>
        <v>31.26</v>
      </c>
      <c r="CZ52">
        <f>AF52</f>
        <v>31.26</v>
      </c>
      <c r="DA52">
        <f>AJ52</f>
        <v>1</v>
      </c>
      <c r="DB52">
        <f>ROUND(ROUND(AT52*CZ52,2),2)</f>
        <v>23.45</v>
      </c>
      <c r="DC52">
        <f>ROUND(ROUND(AT52*AG52,2),2)</f>
        <v>10.130000000000001</v>
      </c>
    </row>
    <row r="53" spans="1:107" x14ac:dyDescent="0.2">
      <c r="A53">
        <f>ROW(Source!A45)</f>
        <v>45</v>
      </c>
      <c r="B53">
        <v>224527337</v>
      </c>
      <c r="C53">
        <v>224527722</v>
      </c>
      <c r="D53">
        <v>178397835</v>
      </c>
      <c r="E53">
        <v>1</v>
      </c>
      <c r="F53">
        <v>1</v>
      </c>
      <c r="G53">
        <v>1</v>
      </c>
      <c r="H53">
        <v>1</v>
      </c>
      <c r="I53" t="s">
        <v>655</v>
      </c>
      <c r="J53" t="s">
        <v>2</v>
      </c>
      <c r="K53" t="s">
        <v>656</v>
      </c>
      <c r="L53">
        <v>1191</v>
      </c>
      <c r="N53">
        <v>74472246</v>
      </c>
      <c r="O53" t="s">
        <v>600</v>
      </c>
      <c r="P53" t="s">
        <v>600</v>
      </c>
      <c r="Q53">
        <v>1</v>
      </c>
      <c r="W53">
        <v>0</v>
      </c>
      <c r="X53">
        <v>-784637506</v>
      </c>
      <c r="Y53">
        <v>231.64679999999998</v>
      </c>
      <c r="AA53">
        <v>0</v>
      </c>
      <c r="AB53">
        <v>0</v>
      </c>
      <c r="AC53">
        <v>0</v>
      </c>
      <c r="AD53">
        <v>8.74</v>
      </c>
      <c r="AE53">
        <v>0</v>
      </c>
      <c r="AF53">
        <v>0</v>
      </c>
      <c r="AG53">
        <v>0</v>
      </c>
      <c r="AH53">
        <v>8.74</v>
      </c>
      <c r="AI53">
        <v>1</v>
      </c>
      <c r="AJ53">
        <v>1</v>
      </c>
      <c r="AK53">
        <v>1</v>
      </c>
      <c r="AL53">
        <v>1</v>
      </c>
      <c r="AN53">
        <v>0</v>
      </c>
      <c r="AO53">
        <v>1</v>
      </c>
      <c r="AP53">
        <v>1</v>
      </c>
      <c r="AQ53">
        <v>0</v>
      </c>
      <c r="AR53">
        <v>0</v>
      </c>
      <c r="AS53" t="s">
        <v>2</v>
      </c>
      <c r="AT53">
        <v>167.86</v>
      </c>
      <c r="AU53" t="s">
        <v>85</v>
      </c>
      <c r="AV53">
        <v>1</v>
      </c>
      <c r="AW53">
        <v>2</v>
      </c>
      <c r="AX53">
        <v>224527734</v>
      </c>
      <c r="AY53">
        <v>1</v>
      </c>
      <c r="AZ53">
        <v>0</v>
      </c>
      <c r="BA53">
        <v>61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CX53">
        <f>Y53*Source!I45</f>
        <v>26.407735199999998</v>
      </c>
      <c r="CY53">
        <f>AD53</f>
        <v>8.74</v>
      </c>
      <c r="CZ53">
        <f>AH53</f>
        <v>8.74</v>
      </c>
      <c r="DA53">
        <f>AL53</f>
        <v>1</v>
      </c>
      <c r="DB53">
        <f>ROUND(((ROUND(AT53*CZ53,2)*1.15)*1.2),2)</f>
        <v>2024.6</v>
      </c>
      <c r="DC53">
        <f>ROUND(((ROUND(AT53*AG53,2)*1.15)*1.2),2)</f>
        <v>0</v>
      </c>
    </row>
    <row r="54" spans="1:107" x14ac:dyDescent="0.2">
      <c r="A54">
        <f>ROW(Source!A45)</f>
        <v>45</v>
      </c>
      <c r="B54">
        <v>224527337</v>
      </c>
      <c r="C54">
        <v>224527722</v>
      </c>
      <c r="D54">
        <v>178392216</v>
      </c>
      <c r="E54">
        <v>1</v>
      </c>
      <c r="F54">
        <v>1</v>
      </c>
      <c r="G54">
        <v>1</v>
      </c>
      <c r="H54">
        <v>1</v>
      </c>
      <c r="I54" t="s">
        <v>607</v>
      </c>
      <c r="J54" t="s">
        <v>2</v>
      </c>
      <c r="K54" t="s">
        <v>608</v>
      </c>
      <c r="L54">
        <v>1191</v>
      </c>
      <c r="N54">
        <v>74472246</v>
      </c>
      <c r="O54" t="s">
        <v>600</v>
      </c>
      <c r="P54" t="s">
        <v>600</v>
      </c>
      <c r="Q54">
        <v>1</v>
      </c>
      <c r="W54">
        <v>0</v>
      </c>
      <c r="X54">
        <v>-1417349443</v>
      </c>
      <c r="Y54">
        <v>1.95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1</v>
      </c>
      <c r="AJ54">
        <v>1</v>
      </c>
      <c r="AK54">
        <v>1</v>
      </c>
      <c r="AL54">
        <v>1</v>
      </c>
      <c r="AN54">
        <v>0</v>
      </c>
      <c r="AO54">
        <v>1</v>
      </c>
      <c r="AP54">
        <v>1</v>
      </c>
      <c r="AQ54">
        <v>0</v>
      </c>
      <c r="AR54">
        <v>0</v>
      </c>
      <c r="AS54" t="s">
        <v>2</v>
      </c>
      <c r="AT54">
        <v>1.3</v>
      </c>
      <c r="AU54" t="s">
        <v>65</v>
      </c>
      <c r="AV54">
        <v>2</v>
      </c>
      <c r="AW54">
        <v>2</v>
      </c>
      <c r="AX54">
        <v>224527735</v>
      </c>
      <c r="AY54">
        <v>1</v>
      </c>
      <c r="AZ54">
        <v>0</v>
      </c>
      <c r="BA54">
        <v>62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CX54">
        <f>Y54*Source!I45</f>
        <v>0.2223</v>
      </c>
      <c r="CY54">
        <f>AD54</f>
        <v>0</v>
      </c>
      <c r="CZ54">
        <f>AH54</f>
        <v>0</v>
      </c>
      <c r="DA54">
        <f>AL54</f>
        <v>1</v>
      </c>
      <c r="DB54">
        <f>ROUND(((ROUND(AT54*CZ54,2)*1.25)*1.2),2)</f>
        <v>0</v>
      </c>
      <c r="DC54">
        <f>ROUND(((ROUND(AT54*AG54,2)*1.25)*1.2),2)</f>
        <v>0</v>
      </c>
    </row>
    <row r="55" spans="1:107" x14ac:dyDescent="0.2">
      <c r="A55">
        <f>ROW(Source!A45)</f>
        <v>45</v>
      </c>
      <c r="B55">
        <v>224527337</v>
      </c>
      <c r="C55">
        <v>224527722</v>
      </c>
      <c r="D55">
        <v>178209553</v>
      </c>
      <c r="E55">
        <v>1</v>
      </c>
      <c r="F55">
        <v>1</v>
      </c>
      <c r="G55">
        <v>1</v>
      </c>
      <c r="H55">
        <v>2</v>
      </c>
      <c r="I55" t="s">
        <v>657</v>
      </c>
      <c r="J55" t="s">
        <v>658</v>
      </c>
      <c r="K55" t="s">
        <v>659</v>
      </c>
      <c r="L55">
        <v>1368</v>
      </c>
      <c r="N55">
        <v>1011</v>
      </c>
      <c r="O55" t="s">
        <v>660</v>
      </c>
      <c r="P55" t="s">
        <v>660</v>
      </c>
      <c r="Q55">
        <v>1</v>
      </c>
      <c r="W55">
        <v>0</v>
      </c>
      <c r="X55">
        <v>-1718674368</v>
      </c>
      <c r="Y55">
        <v>0.78</v>
      </c>
      <c r="AA55">
        <v>0</v>
      </c>
      <c r="AB55">
        <v>111.99</v>
      </c>
      <c r="AC55">
        <v>13.5</v>
      </c>
      <c r="AD55">
        <v>0</v>
      </c>
      <c r="AE55">
        <v>0</v>
      </c>
      <c r="AF55">
        <v>111.99</v>
      </c>
      <c r="AG55">
        <v>13.5</v>
      </c>
      <c r="AH55">
        <v>0</v>
      </c>
      <c r="AI55">
        <v>1</v>
      </c>
      <c r="AJ55">
        <v>1</v>
      </c>
      <c r="AK55">
        <v>1</v>
      </c>
      <c r="AL55">
        <v>1</v>
      </c>
      <c r="AN55">
        <v>0</v>
      </c>
      <c r="AO55">
        <v>1</v>
      </c>
      <c r="AP55">
        <v>1</v>
      </c>
      <c r="AQ55">
        <v>0</v>
      </c>
      <c r="AR55">
        <v>0</v>
      </c>
      <c r="AS55" t="s">
        <v>2</v>
      </c>
      <c r="AT55">
        <v>0.52</v>
      </c>
      <c r="AU55" t="s">
        <v>65</v>
      </c>
      <c r="AV55">
        <v>0</v>
      </c>
      <c r="AW55">
        <v>2</v>
      </c>
      <c r="AX55">
        <v>224527736</v>
      </c>
      <c r="AY55">
        <v>1</v>
      </c>
      <c r="AZ55">
        <v>0</v>
      </c>
      <c r="BA55">
        <v>63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CX55">
        <f>Y55*Source!I45</f>
        <v>8.8920000000000013E-2</v>
      </c>
      <c r="CY55">
        <f>AB55</f>
        <v>111.99</v>
      </c>
      <c r="CZ55">
        <f>AF55</f>
        <v>111.99</v>
      </c>
      <c r="DA55">
        <f>AJ55</f>
        <v>1</v>
      </c>
      <c r="DB55">
        <f>ROUND(((ROUND(AT55*CZ55,2)*1.25)*1.2),2)</f>
        <v>87.35</v>
      </c>
      <c r="DC55">
        <f>ROUND(((ROUND(AT55*AG55,2)*1.25)*1.2),2)</f>
        <v>10.53</v>
      </c>
    </row>
    <row r="56" spans="1:107" x14ac:dyDescent="0.2">
      <c r="A56">
        <f>ROW(Source!A45)</f>
        <v>45</v>
      </c>
      <c r="B56">
        <v>224527337</v>
      </c>
      <c r="C56">
        <v>224527722</v>
      </c>
      <c r="D56">
        <v>178209746</v>
      </c>
      <c r="E56">
        <v>1</v>
      </c>
      <c r="F56">
        <v>1</v>
      </c>
      <c r="G56">
        <v>1</v>
      </c>
      <c r="H56">
        <v>2</v>
      </c>
      <c r="I56" t="s">
        <v>661</v>
      </c>
      <c r="J56" t="s">
        <v>662</v>
      </c>
      <c r="K56" t="s">
        <v>663</v>
      </c>
      <c r="L56">
        <v>1368</v>
      </c>
      <c r="N56">
        <v>1011</v>
      </c>
      <c r="O56" t="s">
        <v>660</v>
      </c>
      <c r="P56" t="s">
        <v>660</v>
      </c>
      <c r="Q56">
        <v>1</v>
      </c>
      <c r="W56">
        <v>0</v>
      </c>
      <c r="X56">
        <v>-1985289705</v>
      </c>
      <c r="Y56">
        <v>0.58500000000000008</v>
      </c>
      <c r="AA56">
        <v>0</v>
      </c>
      <c r="AB56">
        <v>6.66</v>
      </c>
      <c r="AC56">
        <v>0</v>
      </c>
      <c r="AD56">
        <v>0</v>
      </c>
      <c r="AE56">
        <v>0</v>
      </c>
      <c r="AF56">
        <v>6.66</v>
      </c>
      <c r="AG56">
        <v>0</v>
      </c>
      <c r="AH56">
        <v>0</v>
      </c>
      <c r="AI56">
        <v>1</v>
      </c>
      <c r="AJ56">
        <v>1</v>
      </c>
      <c r="AK56">
        <v>1</v>
      </c>
      <c r="AL56">
        <v>1</v>
      </c>
      <c r="AN56">
        <v>0</v>
      </c>
      <c r="AO56">
        <v>1</v>
      </c>
      <c r="AP56">
        <v>1</v>
      </c>
      <c r="AQ56">
        <v>0</v>
      </c>
      <c r="AR56">
        <v>0</v>
      </c>
      <c r="AS56" t="s">
        <v>2</v>
      </c>
      <c r="AT56">
        <v>0.39</v>
      </c>
      <c r="AU56" t="s">
        <v>65</v>
      </c>
      <c r="AV56">
        <v>0</v>
      </c>
      <c r="AW56">
        <v>2</v>
      </c>
      <c r="AX56">
        <v>224527737</v>
      </c>
      <c r="AY56">
        <v>1</v>
      </c>
      <c r="AZ56">
        <v>0</v>
      </c>
      <c r="BA56">
        <v>64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CX56">
        <f>Y56*Source!I45</f>
        <v>6.6690000000000013E-2</v>
      </c>
      <c r="CY56">
        <f>AB56</f>
        <v>6.66</v>
      </c>
      <c r="CZ56">
        <f>AF56</f>
        <v>6.66</v>
      </c>
      <c r="DA56">
        <f>AJ56</f>
        <v>1</v>
      </c>
      <c r="DB56">
        <f>ROUND(((ROUND(AT56*CZ56,2)*1.25)*1.2),2)</f>
        <v>3.9</v>
      </c>
      <c r="DC56">
        <f>ROUND(((ROUND(AT56*AG56,2)*1.25)*1.2),2)</f>
        <v>0</v>
      </c>
    </row>
    <row r="57" spans="1:107" x14ac:dyDescent="0.2">
      <c r="A57">
        <f>ROW(Source!A45)</f>
        <v>45</v>
      </c>
      <c r="B57">
        <v>224527337</v>
      </c>
      <c r="C57">
        <v>224527722</v>
      </c>
      <c r="D57">
        <v>178210938</v>
      </c>
      <c r="E57">
        <v>1</v>
      </c>
      <c r="F57">
        <v>1</v>
      </c>
      <c r="G57">
        <v>1</v>
      </c>
      <c r="H57">
        <v>2</v>
      </c>
      <c r="I57" t="s">
        <v>624</v>
      </c>
      <c r="J57" t="s">
        <v>664</v>
      </c>
      <c r="K57" t="s">
        <v>626</v>
      </c>
      <c r="L57">
        <v>1368</v>
      </c>
      <c r="N57">
        <v>1011</v>
      </c>
      <c r="O57" t="s">
        <v>660</v>
      </c>
      <c r="P57" t="s">
        <v>660</v>
      </c>
      <c r="Q57">
        <v>1</v>
      </c>
      <c r="W57">
        <v>0</v>
      </c>
      <c r="X57">
        <v>1372534845</v>
      </c>
      <c r="Y57">
        <v>1.1700000000000002</v>
      </c>
      <c r="AA57">
        <v>0</v>
      </c>
      <c r="AB57">
        <v>65.709999999999994</v>
      </c>
      <c r="AC57">
        <v>11.6</v>
      </c>
      <c r="AD57">
        <v>0</v>
      </c>
      <c r="AE57">
        <v>0</v>
      </c>
      <c r="AF57">
        <v>65.709999999999994</v>
      </c>
      <c r="AG57">
        <v>11.6</v>
      </c>
      <c r="AH57">
        <v>0</v>
      </c>
      <c r="AI57">
        <v>1</v>
      </c>
      <c r="AJ57">
        <v>1</v>
      </c>
      <c r="AK57">
        <v>1</v>
      </c>
      <c r="AL57">
        <v>1</v>
      </c>
      <c r="AN57">
        <v>0</v>
      </c>
      <c r="AO57">
        <v>1</v>
      </c>
      <c r="AP57">
        <v>1</v>
      </c>
      <c r="AQ57">
        <v>0</v>
      </c>
      <c r="AR57">
        <v>0</v>
      </c>
      <c r="AS57" t="s">
        <v>2</v>
      </c>
      <c r="AT57">
        <v>0.78</v>
      </c>
      <c r="AU57" t="s">
        <v>65</v>
      </c>
      <c r="AV57">
        <v>0</v>
      </c>
      <c r="AW57">
        <v>2</v>
      </c>
      <c r="AX57">
        <v>224527738</v>
      </c>
      <c r="AY57">
        <v>1</v>
      </c>
      <c r="AZ57">
        <v>0</v>
      </c>
      <c r="BA57">
        <v>65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CX57">
        <f>Y57*Source!I45</f>
        <v>0.13338000000000003</v>
      </c>
      <c r="CY57">
        <f>AB57</f>
        <v>65.709999999999994</v>
      </c>
      <c r="CZ57">
        <f>AF57</f>
        <v>65.709999999999994</v>
      </c>
      <c r="DA57">
        <f>AJ57</f>
        <v>1</v>
      </c>
      <c r="DB57">
        <f>ROUND(((ROUND(AT57*CZ57,2)*1.25)*1.2),2)</f>
        <v>76.88</v>
      </c>
      <c r="DC57">
        <f>ROUND(((ROUND(AT57*AG57,2)*1.25)*1.2),2)</f>
        <v>13.58</v>
      </c>
    </row>
    <row r="58" spans="1:107" x14ac:dyDescent="0.2">
      <c r="A58">
        <f>ROW(Source!A45)</f>
        <v>45</v>
      </c>
      <c r="B58">
        <v>224527337</v>
      </c>
      <c r="C58">
        <v>224527722</v>
      </c>
      <c r="D58">
        <v>178211242</v>
      </c>
      <c r="E58">
        <v>1</v>
      </c>
      <c r="F58">
        <v>1</v>
      </c>
      <c r="G58">
        <v>1</v>
      </c>
      <c r="H58">
        <v>2</v>
      </c>
      <c r="I58" t="s">
        <v>665</v>
      </c>
      <c r="J58" t="s">
        <v>666</v>
      </c>
      <c r="K58" t="s">
        <v>667</v>
      </c>
      <c r="L58">
        <v>1368</v>
      </c>
      <c r="N58">
        <v>1011</v>
      </c>
      <c r="O58" t="s">
        <v>660</v>
      </c>
      <c r="P58" t="s">
        <v>660</v>
      </c>
      <c r="Q58">
        <v>1</v>
      </c>
      <c r="W58">
        <v>0</v>
      </c>
      <c r="X58">
        <v>-353815937</v>
      </c>
      <c r="Y58">
        <v>2.6849999999999996</v>
      </c>
      <c r="AA58">
        <v>0</v>
      </c>
      <c r="AB58">
        <v>8.1</v>
      </c>
      <c r="AC58">
        <v>0</v>
      </c>
      <c r="AD58">
        <v>0</v>
      </c>
      <c r="AE58">
        <v>0</v>
      </c>
      <c r="AF58">
        <v>8.1</v>
      </c>
      <c r="AG58">
        <v>0</v>
      </c>
      <c r="AH58">
        <v>0</v>
      </c>
      <c r="AI58">
        <v>1</v>
      </c>
      <c r="AJ58">
        <v>1</v>
      </c>
      <c r="AK58">
        <v>1</v>
      </c>
      <c r="AL58">
        <v>1</v>
      </c>
      <c r="AN58">
        <v>0</v>
      </c>
      <c r="AO58">
        <v>1</v>
      </c>
      <c r="AP58">
        <v>1</v>
      </c>
      <c r="AQ58">
        <v>0</v>
      </c>
      <c r="AR58">
        <v>0</v>
      </c>
      <c r="AS58" t="s">
        <v>2</v>
      </c>
      <c r="AT58">
        <v>1.79</v>
      </c>
      <c r="AU58" t="s">
        <v>65</v>
      </c>
      <c r="AV58">
        <v>0</v>
      </c>
      <c r="AW58">
        <v>2</v>
      </c>
      <c r="AX58">
        <v>224527739</v>
      </c>
      <c r="AY58">
        <v>1</v>
      </c>
      <c r="AZ58">
        <v>0</v>
      </c>
      <c r="BA58">
        <v>66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CX58">
        <f>Y58*Source!I45</f>
        <v>0.30608999999999997</v>
      </c>
      <c r="CY58">
        <f>AB58</f>
        <v>8.1</v>
      </c>
      <c r="CZ58">
        <f>AF58</f>
        <v>8.1</v>
      </c>
      <c r="DA58">
        <f>AJ58</f>
        <v>1</v>
      </c>
      <c r="DB58">
        <f>ROUND(((ROUND(AT58*CZ58,2)*1.25)*1.2),2)</f>
        <v>21.75</v>
      </c>
      <c r="DC58">
        <f>ROUND(((ROUND(AT58*AG58,2)*1.25)*1.2),2)</f>
        <v>0</v>
      </c>
    </row>
    <row r="59" spans="1:107" x14ac:dyDescent="0.2">
      <c r="A59">
        <f>ROW(Source!A45)</f>
        <v>45</v>
      </c>
      <c r="B59">
        <v>224527337</v>
      </c>
      <c r="C59">
        <v>224527722</v>
      </c>
      <c r="D59">
        <v>178127162</v>
      </c>
      <c r="E59">
        <v>1</v>
      </c>
      <c r="F59">
        <v>1</v>
      </c>
      <c r="G59">
        <v>1</v>
      </c>
      <c r="H59">
        <v>3</v>
      </c>
      <c r="I59" t="s">
        <v>668</v>
      </c>
      <c r="J59" t="s">
        <v>669</v>
      </c>
      <c r="K59" t="s">
        <v>670</v>
      </c>
      <c r="L59">
        <v>1348</v>
      </c>
      <c r="N59">
        <v>1009</v>
      </c>
      <c r="O59" t="s">
        <v>18</v>
      </c>
      <c r="P59" t="s">
        <v>18</v>
      </c>
      <c r="Q59">
        <v>1000</v>
      </c>
      <c r="W59">
        <v>0</v>
      </c>
      <c r="X59">
        <v>731670393</v>
      </c>
      <c r="Y59">
        <v>8.8999999999999995E-4</v>
      </c>
      <c r="AA59">
        <v>26499</v>
      </c>
      <c r="AB59">
        <v>0</v>
      </c>
      <c r="AC59">
        <v>0</v>
      </c>
      <c r="AD59">
        <v>0</v>
      </c>
      <c r="AE59">
        <v>26499</v>
      </c>
      <c r="AF59">
        <v>0</v>
      </c>
      <c r="AG59">
        <v>0</v>
      </c>
      <c r="AH59">
        <v>0</v>
      </c>
      <c r="AI59">
        <v>1</v>
      </c>
      <c r="AJ59">
        <v>1</v>
      </c>
      <c r="AK59">
        <v>1</v>
      </c>
      <c r="AL59">
        <v>1</v>
      </c>
      <c r="AN59">
        <v>0</v>
      </c>
      <c r="AO59">
        <v>1</v>
      </c>
      <c r="AP59">
        <v>0</v>
      </c>
      <c r="AQ59">
        <v>0</v>
      </c>
      <c r="AR59">
        <v>0</v>
      </c>
      <c r="AS59" t="s">
        <v>2</v>
      </c>
      <c r="AT59">
        <v>8.8999999999999995E-4</v>
      </c>
      <c r="AU59" t="s">
        <v>2</v>
      </c>
      <c r="AV59">
        <v>0</v>
      </c>
      <c r="AW59">
        <v>2</v>
      </c>
      <c r="AX59">
        <v>224527740</v>
      </c>
      <c r="AY59">
        <v>1</v>
      </c>
      <c r="AZ59">
        <v>0</v>
      </c>
      <c r="BA59">
        <v>67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CX59">
        <f>Y59*Source!I45</f>
        <v>1.0145999999999999E-4</v>
      </c>
      <c r="CY59">
        <f>AA59</f>
        <v>26499</v>
      </c>
      <c r="CZ59">
        <f>AE59</f>
        <v>26499</v>
      </c>
      <c r="DA59">
        <f>AI59</f>
        <v>1</v>
      </c>
      <c r="DB59">
        <f>ROUND(ROUND(AT59*CZ59,2),2)</f>
        <v>23.58</v>
      </c>
      <c r="DC59">
        <f>ROUND(ROUND(AT59*AG59,2),2)</f>
        <v>0</v>
      </c>
    </row>
    <row r="60" spans="1:107" x14ac:dyDescent="0.2">
      <c r="A60">
        <f>ROW(Source!A45)</f>
        <v>45</v>
      </c>
      <c r="B60">
        <v>224527337</v>
      </c>
      <c r="C60">
        <v>224527722</v>
      </c>
      <c r="D60">
        <v>178130753</v>
      </c>
      <c r="E60">
        <v>1</v>
      </c>
      <c r="F60">
        <v>1</v>
      </c>
      <c r="G60">
        <v>1</v>
      </c>
      <c r="H60">
        <v>3</v>
      </c>
      <c r="I60" t="s">
        <v>671</v>
      </c>
      <c r="J60" t="s">
        <v>672</v>
      </c>
      <c r="K60" t="s">
        <v>673</v>
      </c>
      <c r="L60">
        <v>1348</v>
      </c>
      <c r="N60">
        <v>1009</v>
      </c>
      <c r="O60" t="s">
        <v>18</v>
      </c>
      <c r="P60" t="s">
        <v>18</v>
      </c>
      <c r="Q60">
        <v>1000</v>
      </c>
      <c r="W60">
        <v>0</v>
      </c>
      <c r="X60">
        <v>-1068056325</v>
      </c>
      <c r="Y60">
        <v>4.4999999999999999E-4</v>
      </c>
      <c r="AA60">
        <v>10362</v>
      </c>
      <c r="AB60">
        <v>0</v>
      </c>
      <c r="AC60">
        <v>0</v>
      </c>
      <c r="AD60">
        <v>0</v>
      </c>
      <c r="AE60">
        <v>10362</v>
      </c>
      <c r="AF60">
        <v>0</v>
      </c>
      <c r="AG60">
        <v>0</v>
      </c>
      <c r="AH60">
        <v>0</v>
      </c>
      <c r="AI60">
        <v>1</v>
      </c>
      <c r="AJ60">
        <v>1</v>
      </c>
      <c r="AK60">
        <v>1</v>
      </c>
      <c r="AL60">
        <v>1</v>
      </c>
      <c r="AN60">
        <v>0</v>
      </c>
      <c r="AO60">
        <v>1</v>
      </c>
      <c r="AP60">
        <v>0</v>
      </c>
      <c r="AQ60">
        <v>0</v>
      </c>
      <c r="AR60">
        <v>0</v>
      </c>
      <c r="AS60" t="s">
        <v>2</v>
      </c>
      <c r="AT60">
        <v>4.4999999999999999E-4</v>
      </c>
      <c r="AU60" t="s">
        <v>2</v>
      </c>
      <c r="AV60">
        <v>0</v>
      </c>
      <c r="AW60">
        <v>2</v>
      </c>
      <c r="AX60">
        <v>224527741</v>
      </c>
      <c r="AY60">
        <v>1</v>
      </c>
      <c r="AZ60">
        <v>0</v>
      </c>
      <c r="BA60">
        <v>68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CX60">
        <f>Y60*Source!I45</f>
        <v>5.13E-5</v>
      </c>
      <c r="CY60">
        <f>AA60</f>
        <v>10362</v>
      </c>
      <c r="CZ60">
        <f>AE60</f>
        <v>10362</v>
      </c>
      <c r="DA60">
        <f>AI60</f>
        <v>1</v>
      </c>
      <c r="DB60">
        <f>ROUND(ROUND(AT60*CZ60,2),2)</f>
        <v>4.66</v>
      </c>
      <c r="DC60">
        <f>ROUND(ROUND(AT60*AG60,2),2)</f>
        <v>0</v>
      </c>
    </row>
    <row r="61" spans="1:107" x14ac:dyDescent="0.2">
      <c r="A61">
        <f>ROW(Source!A45)</f>
        <v>45</v>
      </c>
      <c r="B61">
        <v>224527337</v>
      </c>
      <c r="C61">
        <v>224527722</v>
      </c>
      <c r="D61">
        <v>178131929</v>
      </c>
      <c r="E61">
        <v>1</v>
      </c>
      <c r="F61">
        <v>1</v>
      </c>
      <c r="G61">
        <v>1</v>
      </c>
      <c r="H61">
        <v>3</v>
      </c>
      <c r="I61" t="s">
        <v>674</v>
      </c>
      <c r="J61" t="s">
        <v>675</v>
      </c>
      <c r="K61" t="s">
        <v>676</v>
      </c>
      <c r="L61">
        <v>1348</v>
      </c>
      <c r="N61">
        <v>1009</v>
      </c>
      <c r="O61" t="s">
        <v>18</v>
      </c>
      <c r="P61" t="s">
        <v>18</v>
      </c>
      <c r="Q61">
        <v>1000</v>
      </c>
      <c r="W61">
        <v>0</v>
      </c>
      <c r="X61">
        <v>-437906794</v>
      </c>
      <c r="Y61">
        <v>1.4999999999999999E-2</v>
      </c>
      <c r="AA61">
        <v>9040.01</v>
      </c>
      <c r="AB61">
        <v>0</v>
      </c>
      <c r="AC61">
        <v>0</v>
      </c>
      <c r="AD61">
        <v>0</v>
      </c>
      <c r="AE61">
        <v>9040.01</v>
      </c>
      <c r="AF61">
        <v>0</v>
      </c>
      <c r="AG61">
        <v>0</v>
      </c>
      <c r="AH61">
        <v>0</v>
      </c>
      <c r="AI61">
        <v>1</v>
      </c>
      <c r="AJ61">
        <v>1</v>
      </c>
      <c r="AK61">
        <v>1</v>
      </c>
      <c r="AL61">
        <v>1</v>
      </c>
      <c r="AN61">
        <v>0</v>
      </c>
      <c r="AO61">
        <v>1</v>
      </c>
      <c r="AP61">
        <v>0</v>
      </c>
      <c r="AQ61">
        <v>0</v>
      </c>
      <c r="AR61">
        <v>0</v>
      </c>
      <c r="AS61" t="s">
        <v>2</v>
      </c>
      <c r="AT61">
        <v>1.4999999999999999E-2</v>
      </c>
      <c r="AU61" t="s">
        <v>2</v>
      </c>
      <c r="AV61">
        <v>0</v>
      </c>
      <c r="AW61">
        <v>2</v>
      </c>
      <c r="AX61">
        <v>224527742</v>
      </c>
      <c r="AY61">
        <v>1</v>
      </c>
      <c r="AZ61">
        <v>0</v>
      </c>
      <c r="BA61">
        <v>69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CX61">
        <f>Y61*Source!I45</f>
        <v>1.7099999999999999E-3</v>
      </c>
      <c r="CY61">
        <f>AA61</f>
        <v>9040.01</v>
      </c>
      <c r="CZ61">
        <f>AE61</f>
        <v>9040.01</v>
      </c>
      <c r="DA61">
        <f>AI61</f>
        <v>1</v>
      </c>
      <c r="DB61">
        <f>ROUND(ROUND(AT61*CZ61,2),2)</f>
        <v>135.6</v>
      </c>
      <c r="DC61">
        <f>ROUND(ROUND(AT61*AG61,2),2)</f>
        <v>0</v>
      </c>
    </row>
    <row r="62" spans="1:107" x14ac:dyDescent="0.2">
      <c r="A62">
        <f>ROW(Source!A45)</f>
        <v>45</v>
      </c>
      <c r="B62">
        <v>224527337</v>
      </c>
      <c r="C62">
        <v>224527722</v>
      </c>
      <c r="D62">
        <v>178132810</v>
      </c>
      <c r="E62">
        <v>1</v>
      </c>
      <c r="F62">
        <v>1</v>
      </c>
      <c r="G62">
        <v>1</v>
      </c>
      <c r="H62">
        <v>3</v>
      </c>
      <c r="I62" t="s">
        <v>677</v>
      </c>
      <c r="J62" t="s">
        <v>678</v>
      </c>
      <c r="K62" t="s">
        <v>679</v>
      </c>
      <c r="L62">
        <v>1346</v>
      </c>
      <c r="N62">
        <v>1009</v>
      </c>
      <c r="O62" t="s">
        <v>33</v>
      </c>
      <c r="P62" t="s">
        <v>33</v>
      </c>
      <c r="Q62">
        <v>1</v>
      </c>
      <c r="W62">
        <v>0</v>
      </c>
      <c r="X62">
        <v>-731615568</v>
      </c>
      <c r="Y62">
        <v>8</v>
      </c>
      <c r="AA62">
        <v>23.09</v>
      </c>
      <c r="AB62">
        <v>0</v>
      </c>
      <c r="AC62">
        <v>0</v>
      </c>
      <c r="AD62">
        <v>0</v>
      </c>
      <c r="AE62">
        <v>23.09</v>
      </c>
      <c r="AF62">
        <v>0</v>
      </c>
      <c r="AG62">
        <v>0</v>
      </c>
      <c r="AH62">
        <v>0</v>
      </c>
      <c r="AI62">
        <v>1</v>
      </c>
      <c r="AJ62">
        <v>1</v>
      </c>
      <c r="AK62">
        <v>1</v>
      </c>
      <c r="AL62">
        <v>1</v>
      </c>
      <c r="AN62">
        <v>0</v>
      </c>
      <c r="AO62">
        <v>1</v>
      </c>
      <c r="AP62">
        <v>0</v>
      </c>
      <c r="AQ62">
        <v>0</v>
      </c>
      <c r="AR62">
        <v>0</v>
      </c>
      <c r="AS62" t="s">
        <v>2</v>
      </c>
      <c r="AT62">
        <v>8</v>
      </c>
      <c r="AU62" t="s">
        <v>2</v>
      </c>
      <c r="AV62">
        <v>0</v>
      </c>
      <c r="AW62">
        <v>2</v>
      </c>
      <c r="AX62">
        <v>224527743</v>
      </c>
      <c r="AY62">
        <v>1</v>
      </c>
      <c r="AZ62">
        <v>0</v>
      </c>
      <c r="BA62">
        <v>70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CX62">
        <f>Y62*Source!I45</f>
        <v>0.91200000000000003</v>
      </c>
      <c r="CY62">
        <f>AA62</f>
        <v>23.09</v>
      </c>
      <c r="CZ62">
        <f>AE62</f>
        <v>23.09</v>
      </c>
      <c r="DA62">
        <f>AI62</f>
        <v>1</v>
      </c>
      <c r="DB62">
        <f>ROUND(ROUND(AT62*CZ62,2),2)</f>
        <v>184.72</v>
      </c>
      <c r="DC62">
        <f>ROUND(ROUND(AT62*AG62,2),2)</f>
        <v>0</v>
      </c>
    </row>
    <row r="63" spans="1:107" x14ac:dyDescent="0.2">
      <c r="A63">
        <f>ROW(Source!A45)</f>
        <v>45</v>
      </c>
      <c r="B63">
        <v>224527337</v>
      </c>
      <c r="C63">
        <v>224527722</v>
      </c>
      <c r="D63">
        <v>178166332</v>
      </c>
      <c r="E63">
        <v>1</v>
      </c>
      <c r="F63">
        <v>1</v>
      </c>
      <c r="G63">
        <v>1</v>
      </c>
      <c r="H63">
        <v>3</v>
      </c>
      <c r="I63" t="s">
        <v>680</v>
      </c>
      <c r="J63" t="s">
        <v>681</v>
      </c>
      <c r="K63" t="s">
        <v>682</v>
      </c>
      <c r="L63">
        <v>1348</v>
      </c>
      <c r="N63">
        <v>1009</v>
      </c>
      <c r="O63" t="s">
        <v>18</v>
      </c>
      <c r="P63" t="s">
        <v>18</v>
      </c>
      <c r="Q63">
        <v>1000</v>
      </c>
      <c r="W63">
        <v>0</v>
      </c>
      <c r="X63">
        <v>-1445734866</v>
      </c>
      <c r="Y63">
        <v>5.0099999999999997E-3</v>
      </c>
      <c r="AA63">
        <v>17183</v>
      </c>
      <c r="AB63">
        <v>0</v>
      </c>
      <c r="AC63">
        <v>0</v>
      </c>
      <c r="AD63">
        <v>0</v>
      </c>
      <c r="AE63">
        <v>17183</v>
      </c>
      <c r="AF63">
        <v>0</v>
      </c>
      <c r="AG63">
        <v>0</v>
      </c>
      <c r="AH63">
        <v>0</v>
      </c>
      <c r="AI63">
        <v>1</v>
      </c>
      <c r="AJ63">
        <v>1</v>
      </c>
      <c r="AK63">
        <v>1</v>
      </c>
      <c r="AL63">
        <v>1</v>
      </c>
      <c r="AN63">
        <v>0</v>
      </c>
      <c r="AO63">
        <v>1</v>
      </c>
      <c r="AP63">
        <v>0</v>
      </c>
      <c r="AQ63">
        <v>0</v>
      </c>
      <c r="AR63">
        <v>0</v>
      </c>
      <c r="AS63" t="s">
        <v>2</v>
      </c>
      <c r="AT63">
        <v>5.0099999999999997E-3</v>
      </c>
      <c r="AU63" t="s">
        <v>2</v>
      </c>
      <c r="AV63">
        <v>0</v>
      </c>
      <c r="AW63">
        <v>2</v>
      </c>
      <c r="AX63">
        <v>224527745</v>
      </c>
      <c r="AY63">
        <v>1</v>
      </c>
      <c r="AZ63">
        <v>0</v>
      </c>
      <c r="BA63">
        <v>72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CX63">
        <f>Y63*Source!I45</f>
        <v>5.7114000000000004E-4</v>
      </c>
      <c r="CY63">
        <f>AA63</f>
        <v>17183</v>
      </c>
      <c r="CZ63">
        <f>AE63</f>
        <v>17183</v>
      </c>
      <c r="DA63">
        <f>AI63</f>
        <v>1</v>
      </c>
      <c r="DB63">
        <f>ROUND(ROUND(AT63*CZ63,2),2)</f>
        <v>86.09</v>
      </c>
      <c r="DC63">
        <f>ROUND(ROUND(AT63*AG63,2),2)</f>
        <v>0</v>
      </c>
    </row>
    <row r="64" spans="1:107" x14ac:dyDescent="0.2">
      <c r="A64">
        <f>ROW(Source!A82)</f>
        <v>82</v>
      </c>
      <c r="B64">
        <v>224527337</v>
      </c>
      <c r="C64">
        <v>224527870</v>
      </c>
      <c r="D64">
        <v>222895965</v>
      </c>
      <c r="E64">
        <v>70</v>
      </c>
      <c r="F64">
        <v>1</v>
      </c>
      <c r="G64">
        <v>1</v>
      </c>
      <c r="H64">
        <v>1</v>
      </c>
      <c r="I64" t="s">
        <v>683</v>
      </c>
      <c r="J64" t="s">
        <v>2</v>
      </c>
      <c r="K64" t="s">
        <v>684</v>
      </c>
      <c r="L64">
        <v>1191</v>
      </c>
      <c r="N64">
        <v>74472246</v>
      </c>
      <c r="O64" t="s">
        <v>600</v>
      </c>
      <c r="P64" t="s">
        <v>600</v>
      </c>
      <c r="Q64">
        <v>1</v>
      </c>
      <c r="W64">
        <v>0</v>
      </c>
      <c r="X64">
        <v>-983457869</v>
      </c>
      <c r="Y64">
        <v>34.615000000000002</v>
      </c>
      <c r="AA64">
        <v>0</v>
      </c>
      <c r="AB64">
        <v>0</v>
      </c>
      <c r="AC64">
        <v>0</v>
      </c>
      <c r="AD64">
        <v>8.64</v>
      </c>
      <c r="AE64">
        <v>0</v>
      </c>
      <c r="AF64">
        <v>0</v>
      </c>
      <c r="AG64">
        <v>0</v>
      </c>
      <c r="AH64">
        <v>8.64</v>
      </c>
      <c r="AI64">
        <v>1</v>
      </c>
      <c r="AJ64">
        <v>1</v>
      </c>
      <c r="AK64">
        <v>1</v>
      </c>
      <c r="AL64">
        <v>1</v>
      </c>
      <c r="AN64">
        <v>0</v>
      </c>
      <c r="AO64">
        <v>1</v>
      </c>
      <c r="AP64">
        <v>1</v>
      </c>
      <c r="AQ64">
        <v>0</v>
      </c>
      <c r="AR64">
        <v>0</v>
      </c>
      <c r="AS64" t="s">
        <v>2</v>
      </c>
      <c r="AT64">
        <v>30.1</v>
      </c>
      <c r="AU64" t="s">
        <v>179</v>
      </c>
      <c r="AV64">
        <v>1</v>
      </c>
      <c r="AW64">
        <v>2</v>
      </c>
      <c r="AX64">
        <v>224527920</v>
      </c>
      <c r="AY64">
        <v>1</v>
      </c>
      <c r="AZ64">
        <v>0</v>
      </c>
      <c r="BA64">
        <v>78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CX64">
        <f>Y64*Source!I82</f>
        <v>7.9752960000000002</v>
      </c>
      <c r="CY64">
        <f>AD64</f>
        <v>8.64</v>
      </c>
      <c r="CZ64">
        <f>AH64</f>
        <v>8.64</v>
      </c>
      <c r="DA64">
        <f>AL64</f>
        <v>1</v>
      </c>
      <c r="DB64">
        <f>ROUND((ROUND(AT64*CZ64,2)*1.15),2)</f>
        <v>299.07</v>
      </c>
      <c r="DC64">
        <f>ROUND((ROUND(AT64*AG64,2)*1.15),2)</f>
        <v>0</v>
      </c>
    </row>
    <row r="65" spans="1:107" x14ac:dyDescent="0.2">
      <c r="A65">
        <f>ROW(Source!A82)</f>
        <v>82</v>
      </c>
      <c r="B65">
        <v>224527337</v>
      </c>
      <c r="C65">
        <v>224527870</v>
      </c>
      <c r="D65">
        <v>222896153</v>
      </c>
      <c r="E65">
        <v>70</v>
      </c>
      <c r="F65">
        <v>1</v>
      </c>
      <c r="G65">
        <v>1</v>
      </c>
      <c r="H65">
        <v>1</v>
      </c>
      <c r="I65" t="s">
        <v>607</v>
      </c>
      <c r="J65" t="s">
        <v>2</v>
      </c>
      <c r="K65" t="s">
        <v>608</v>
      </c>
      <c r="L65">
        <v>1191</v>
      </c>
      <c r="N65">
        <v>74472246</v>
      </c>
      <c r="O65" t="s">
        <v>600</v>
      </c>
      <c r="P65" t="s">
        <v>600</v>
      </c>
      <c r="Q65">
        <v>1</v>
      </c>
      <c r="W65">
        <v>0</v>
      </c>
      <c r="X65">
        <v>-1417349443</v>
      </c>
      <c r="Y65">
        <v>0.184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1</v>
      </c>
      <c r="AJ65">
        <v>1</v>
      </c>
      <c r="AK65">
        <v>1</v>
      </c>
      <c r="AL65">
        <v>1</v>
      </c>
      <c r="AN65">
        <v>0</v>
      </c>
      <c r="AO65">
        <v>1</v>
      </c>
      <c r="AP65">
        <v>1</v>
      </c>
      <c r="AQ65">
        <v>0</v>
      </c>
      <c r="AR65">
        <v>0</v>
      </c>
      <c r="AS65" t="s">
        <v>2</v>
      </c>
      <c r="AT65">
        <v>0.16</v>
      </c>
      <c r="AU65" t="s">
        <v>179</v>
      </c>
      <c r="AV65">
        <v>2</v>
      </c>
      <c r="AW65">
        <v>2</v>
      </c>
      <c r="AX65">
        <v>224527921</v>
      </c>
      <c r="AY65">
        <v>1</v>
      </c>
      <c r="AZ65">
        <v>0</v>
      </c>
      <c r="BA65">
        <v>79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CX65">
        <f>Y65*Source!I82</f>
        <v>4.2393599999999997E-2</v>
      </c>
      <c r="CY65">
        <f>AD65</f>
        <v>0</v>
      </c>
      <c r="CZ65">
        <f>AH65</f>
        <v>0</v>
      </c>
      <c r="DA65">
        <f>AL65</f>
        <v>1</v>
      </c>
      <c r="DB65">
        <f>ROUND((ROUND(AT65*CZ65,2)*1.15),2)</f>
        <v>0</v>
      </c>
      <c r="DC65">
        <f>ROUND((ROUND(AT65*AG65,2)*1.15),2)</f>
        <v>0</v>
      </c>
    </row>
    <row r="66" spans="1:107" x14ac:dyDescent="0.2">
      <c r="A66">
        <f>ROW(Source!A82)</f>
        <v>82</v>
      </c>
      <c r="B66">
        <v>224527337</v>
      </c>
      <c r="C66">
        <v>224527870</v>
      </c>
      <c r="D66">
        <v>223058015</v>
      </c>
      <c r="E66">
        <v>1</v>
      </c>
      <c r="F66">
        <v>1</v>
      </c>
      <c r="G66">
        <v>1</v>
      </c>
      <c r="H66">
        <v>2</v>
      </c>
      <c r="I66" t="s">
        <v>613</v>
      </c>
      <c r="J66" t="s">
        <v>614</v>
      </c>
      <c r="K66" t="s">
        <v>615</v>
      </c>
      <c r="L66">
        <v>1367</v>
      </c>
      <c r="N66">
        <v>1011</v>
      </c>
      <c r="O66" t="s">
        <v>612</v>
      </c>
      <c r="P66" t="s">
        <v>612</v>
      </c>
      <c r="Q66">
        <v>1</v>
      </c>
      <c r="W66">
        <v>0</v>
      </c>
      <c r="X66">
        <v>1232162608</v>
      </c>
      <c r="Y66">
        <v>0.11499999999999999</v>
      </c>
      <c r="AA66">
        <v>0</v>
      </c>
      <c r="AB66">
        <v>31.26</v>
      </c>
      <c r="AC66">
        <v>13.5</v>
      </c>
      <c r="AD66">
        <v>0</v>
      </c>
      <c r="AE66">
        <v>0</v>
      </c>
      <c r="AF66">
        <v>31.26</v>
      </c>
      <c r="AG66">
        <v>13.5</v>
      </c>
      <c r="AH66">
        <v>0</v>
      </c>
      <c r="AI66">
        <v>1</v>
      </c>
      <c r="AJ66">
        <v>1</v>
      </c>
      <c r="AK66">
        <v>1</v>
      </c>
      <c r="AL66">
        <v>1</v>
      </c>
      <c r="AN66">
        <v>0</v>
      </c>
      <c r="AO66">
        <v>1</v>
      </c>
      <c r="AP66">
        <v>1</v>
      </c>
      <c r="AQ66">
        <v>0</v>
      </c>
      <c r="AR66">
        <v>0</v>
      </c>
      <c r="AS66" t="s">
        <v>2</v>
      </c>
      <c r="AT66">
        <v>0.1</v>
      </c>
      <c r="AU66" t="s">
        <v>179</v>
      </c>
      <c r="AV66">
        <v>0</v>
      </c>
      <c r="AW66">
        <v>2</v>
      </c>
      <c r="AX66">
        <v>224527922</v>
      </c>
      <c r="AY66">
        <v>1</v>
      </c>
      <c r="AZ66">
        <v>0</v>
      </c>
      <c r="BA66">
        <v>80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CX66">
        <f>Y66*Source!I82</f>
        <v>2.6495999999999999E-2</v>
      </c>
      <c r="CY66">
        <f>AB66</f>
        <v>31.26</v>
      </c>
      <c r="CZ66">
        <f>AF66</f>
        <v>31.26</v>
      </c>
      <c r="DA66">
        <f>AJ66</f>
        <v>1</v>
      </c>
      <c r="DB66">
        <f>ROUND((ROUND(AT66*CZ66,2)*1.15),2)</f>
        <v>3.6</v>
      </c>
      <c r="DC66">
        <f>ROUND((ROUND(AT66*AG66,2)*1.15),2)</f>
        <v>1.55</v>
      </c>
    </row>
    <row r="67" spans="1:107" x14ac:dyDescent="0.2">
      <c r="A67">
        <f>ROW(Source!A82)</f>
        <v>82</v>
      </c>
      <c r="B67">
        <v>224527337</v>
      </c>
      <c r="C67">
        <v>224527870</v>
      </c>
      <c r="D67">
        <v>223058751</v>
      </c>
      <c r="E67">
        <v>1</v>
      </c>
      <c r="F67">
        <v>1</v>
      </c>
      <c r="G67">
        <v>1</v>
      </c>
      <c r="H67">
        <v>2</v>
      </c>
      <c r="I67" t="s">
        <v>624</v>
      </c>
      <c r="J67" t="s">
        <v>625</v>
      </c>
      <c r="K67" t="s">
        <v>626</v>
      </c>
      <c r="L67">
        <v>1367</v>
      </c>
      <c r="N67">
        <v>1011</v>
      </c>
      <c r="O67" t="s">
        <v>612</v>
      </c>
      <c r="P67" t="s">
        <v>612</v>
      </c>
      <c r="Q67">
        <v>1</v>
      </c>
      <c r="W67">
        <v>0</v>
      </c>
      <c r="X67">
        <v>509054691</v>
      </c>
      <c r="Y67">
        <v>6.8999999999999992E-2</v>
      </c>
      <c r="AA67">
        <v>0</v>
      </c>
      <c r="AB67">
        <v>65.709999999999994</v>
      </c>
      <c r="AC67">
        <v>11.6</v>
      </c>
      <c r="AD67">
        <v>0</v>
      </c>
      <c r="AE67">
        <v>0</v>
      </c>
      <c r="AF67">
        <v>65.709999999999994</v>
      </c>
      <c r="AG67">
        <v>11.6</v>
      </c>
      <c r="AH67">
        <v>0</v>
      </c>
      <c r="AI67">
        <v>1</v>
      </c>
      <c r="AJ67">
        <v>1</v>
      </c>
      <c r="AK67">
        <v>1</v>
      </c>
      <c r="AL67">
        <v>1</v>
      </c>
      <c r="AN67">
        <v>0</v>
      </c>
      <c r="AO67">
        <v>1</v>
      </c>
      <c r="AP67">
        <v>1</v>
      </c>
      <c r="AQ67">
        <v>0</v>
      </c>
      <c r="AR67">
        <v>0</v>
      </c>
      <c r="AS67" t="s">
        <v>2</v>
      </c>
      <c r="AT67">
        <v>0.06</v>
      </c>
      <c r="AU67" t="s">
        <v>179</v>
      </c>
      <c r="AV67">
        <v>0</v>
      </c>
      <c r="AW67">
        <v>2</v>
      </c>
      <c r="AX67">
        <v>224527923</v>
      </c>
      <c r="AY67">
        <v>1</v>
      </c>
      <c r="AZ67">
        <v>0</v>
      </c>
      <c r="BA67">
        <v>81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CX67">
        <f>Y67*Source!I82</f>
        <v>1.5897599999999998E-2</v>
      </c>
      <c r="CY67">
        <f>AB67</f>
        <v>65.709999999999994</v>
      </c>
      <c r="CZ67">
        <f>AF67</f>
        <v>65.709999999999994</v>
      </c>
      <c r="DA67">
        <f>AJ67</f>
        <v>1</v>
      </c>
      <c r="DB67">
        <f>ROUND((ROUND(AT67*CZ67,2)*1.15),2)</f>
        <v>4.53</v>
      </c>
      <c r="DC67">
        <f>ROUND((ROUND(AT67*AG67,2)*1.15),2)</f>
        <v>0.81</v>
      </c>
    </row>
    <row r="68" spans="1:107" x14ac:dyDescent="0.2">
      <c r="A68">
        <f>ROW(Source!A82)</f>
        <v>82</v>
      </c>
      <c r="B68">
        <v>224527337</v>
      </c>
      <c r="C68">
        <v>224527870</v>
      </c>
      <c r="D68">
        <v>222908451</v>
      </c>
      <c r="E68">
        <v>1</v>
      </c>
      <c r="F68">
        <v>1</v>
      </c>
      <c r="G68">
        <v>1</v>
      </c>
      <c r="H68">
        <v>3</v>
      </c>
      <c r="I68" t="s">
        <v>619</v>
      </c>
      <c r="J68" t="s">
        <v>620</v>
      </c>
      <c r="K68" t="s">
        <v>621</v>
      </c>
      <c r="L68">
        <v>1339</v>
      </c>
      <c r="N68">
        <v>1007</v>
      </c>
      <c r="O68" t="s">
        <v>215</v>
      </c>
      <c r="P68" t="s">
        <v>215</v>
      </c>
      <c r="Q68">
        <v>1</v>
      </c>
      <c r="W68">
        <v>0</v>
      </c>
      <c r="X68">
        <v>-143474561</v>
      </c>
      <c r="Y68">
        <v>0.24</v>
      </c>
      <c r="AA68">
        <v>2.44</v>
      </c>
      <c r="AB68">
        <v>0</v>
      </c>
      <c r="AC68">
        <v>0</v>
      </c>
      <c r="AD68">
        <v>0</v>
      </c>
      <c r="AE68">
        <v>2.44</v>
      </c>
      <c r="AF68">
        <v>0</v>
      </c>
      <c r="AG68">
        <v>0</v>
      </c>
      <c r="AH68">
        <v>0</v>
      </c>
      <c r="AI68">
        <v>1</v>
      </c>
      <c r="AJ68">
        <v>1</v>
      </c>
      <c r="AK68">
        <v>1</v>
      </c>
      <c r="AL68">
        <v>1</v>
      </c>
      <c r="AN68">
        <v>0</v>
      </c>
      <c r="AO68">
        <v>1</v>
      </c>
      <c r="AP68">
        <v>0</v>
      </c>
      <c r="AQ68">
        <v>0</v>
      </c>
      <c r="AR68">
        <v>0</v>
      </c>
      <c r="AS68" t="s">
        <v>2</v>
      </c>
      <c r="AT68">
        <v>0.24</v>
      </c>
      <c r="AU68" t="s">
        <v>2</v>
      </c>
      <c r="AV68">
        <v>0</v>
      </c>
      <c r="AW68">
        <v>2</v>
      </c>
      <c r="AX68">
        <v>224527924</v>
      </c>
      <c r="AY68">
        <v>1</v>
      </c>
      <c r="AZ68">
        <v>0</v>
      </c>
      <c r="BA68">
        <v>82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CX68">
        <f>Y68*Source!I82</f>
        <v>5.5295999999999998E-2</v>
      </c>
      <c r="CY68">
        <f t="shared" ref="CY68:CY73" si="6">AA68</f>
        <v>2.44</v>
      </c>
      <c r="CZ68">
        <f t="shared" ref="CZ68:CZ73" si="7">AE68</f>
        <v>2.44</v>
      </c>
      <c r="DA68">
        <f t="shared" ref="DA68:DA73" si="8">AI68</f>
        <v>1</v>
      </c>
      <c r="DB68">
        <f t="shared" ref="DB68:DB73" si="9">ROUND(ROUND(AT68*CZ68,2),2)</f>
        <v>0.59</v>
      </c>
      <c r="DC68">
        <f t="shared" ref="DC68:DC73" si="10">ROUND(ROUND(AT68*AG68,2),2)</f>
        <v>0</v>
      </c>
    </row>
    <row r="69" spans="1:107" x14ac:dyDescent="0.2">
      <c r="A69">
        <f>ROW(Source!A82)</f>
        <v>82</v>
      </c>
      <c r="B69">
        <v>224527337</v>
      </c>
      <c r="C69">
        <v>224527870</v>
      </c>
      <c r="D69">
        <v>222908906</v>
      </c>
      <c r="E69">
        <v>1</v>
      </c>
      <c r="F69">
        <v>1</v>
      </c>
      <c r="G69">
        <v>1</v>
      </c>
      <c r="H69">
        <v>3</v>
      </c>
      <c r="I69" t="s">
        <v>685</v>
      </c>
      <c r="J69" t="s">
        <v>686</v>
      </c>
      <c r="K69" t="s">
        <v>687</v>
      </c>
      <c r="L69">
        <v>1371</v>
      </c>
      <c r="N69">
        <v>74472246</v>
      </c>
      <c r="O69" t="s">
        <v>200</v>
      </c>
      <c r="P69" t="s">
        <v>200</v>
      </c>
      <c r="Q69">
        <v>1</v>
      </c>
      <c r="W69">
        <v>0</v>
      </c>
      <c r="X69">
        <v>-58466734</v>
      </c>
      <c r="Y69">
        <v>3.2</v>
      </c>
      <c r="AA69">
        <v>4.5</v>
      </c>
      <c r="AB69">
        <v>0</v>
      </c>
      <c r="AC69">
        <v>0</v>
      </c>
      <c r="AD69">
        <v>0</v>
      </c>
      <c r="AE69">
        <v>4.5</v>
      </c>
      <c r="AF69">
        <v>0</v>
      </c>
      <c r="AG69">
        <v>0</v>
      </c>
      <c r="AH69">
        <v>0</v>
      </c>
      <c r="AI69">
        <v>1</v>
      </c>
      <c r="AJ69">
        <v>1</v>
      </c>
      <c r="AK69">
        <v>1</v>
      </c>
      <c r="AL69">
        <v>1</v>
      </c>
      <c r="AN69">
        <v>0</v>
      </c>
      <c r="AO69">
        <v>1</v>
      </c>
      <c r="AP69">
        <v>0</v>
      </c>
      <c r="AQ69">
        <v>0</v>
      </c>
      <c r="AR69">
        <v>0</v>
      </c>
      <c r="AS69" t="s">
        <v>2</v>
      </c>
      <c r="AT69">
        <v>3.2</v>
      </c>
      <c r="AU69" t="s">
        <v>2</v>
      </c>
      <c r="AV69">
        <v>0</v>
      </c>
      <c r="AW69">
        <v>2</v>
      </c>
      <c r="AX69">
        <v>224527925</v>
      </c>
      <c r="AY69">
        <v>1</v>
      </c>
      <c r="AZ69">
        <v>0</v>
      </c>
      <c r="BA69">
        <v>83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CX69">
        <f>Y69*Source!I82</f>
        <v>0.73728000000000005</v>
      </c>
      <c r="CY69">
        <f t="shared" si="6"/>
        <v>4.5</v>
      </c>
      <c r="CZ69">
        <f t="shared" si="7"/>
        <v>4.5</v>
      </c>
      <c r="DA69">
        <f t="shared" si="8"/>
        <v>1</v>
      </c>
      <c r="DB69">
        <f t="shared" si="9"/>
        <v>14.4</v>
      </c>
      <c r="DC69">
        <f t="shared" si="10"/>
        <v>0</v>
      </c>
    </row>
    <row r="70" spans="1:107" x14ac:dyDescent="0.2">
      <c r="A70">
        <f>ROW(Source!A82)</f>
        <v>82</v>
      </c>
      <c r="B70">
        <v>224527337</v>
      </c>
      <c r="C70">
        <v>224527870</v>
      </c>
      <c r="D70">
        <v>222909152</v>
      </c>
      <c r="E70">
        <v>1</v>
      </c>
      <c r="F70">
        <v>1</v>
      </c>
      <c r="G70">
        <v>1</v>
      </c>
      <c r="H70">
        <v>3</v>
      </c>
      <c r="I70" t="s">
        <v>688</v>
      </c>
      <c r="J70" t="s">
        <v>689</v>
      </c>
      <c r="K70" t="s">
        <v>690</v>
      </c>
      <c r="L70">
        <v>1348</v>
      </c>
      <c r="N70">
        <v>1009</v>
      </c>
      <c r="O70" t="s">
        <v>18</v>
      </c>
      <c r="P70" t="s">
        <v>18</v>
      </c>
      <c r="Q70">
        <v>1000</v>
      </c>
      <c r="W70">
        <v>0</v>
      </c>
      <c r="X70">
        <v>962435736</v>
      </c>
      <c r="Y70">
        <v>1.2E-2</v>
      </c>
      <c r="AA70">
        <v>586.47</v>
      </c>
      <c r="AB70">
        <v>0</v>
      </c>
      <c r="AC70">
        <v>0</v>
      </c>
      <c r="AD70">
        <v>0</v>
      </c>
      <c r="AE70">
        <v>586.47</v>
      </c>
      <c r="AF70">
        <v>0</v>
      </c>
      <c r="AG70">
        <v>0</v>
      </c>
      <c r="AH70">
        <v>0</v>
      </c>
      <c r="AI70">
        <v>1</v>
      </c>
      <c r="AJ70">
        <v>1</v>
      </c>
      <c r="AK70">
        <v>1</v>
      </c>
      <c r="AL70">
        <v>1</v>
      </c>
      <c r="AN70">
        <v>0</v>
      </c>
      <c r="AO70">
        <v>1</v>
      </c>
      <c r="AP70">
        <v>0</v>
      </c>
      <c r="AQ70">
        <v>0</v>
      </c>
      <c r="AR70">
        <v>0</v>
      </c>
      <c r="AS70" t="s">
        <v>2</v>
      </c>
      <c r="AT70">
        <v>1.2E-2</v>
      </c>
      <c r="AU70" t="s">
        <v>2</v>
      </c>
      <c r="AV70">
        <v>0</v>
      </c>
      <c r="AW70">
        <v>2</v>
      </c>
      <c r="AX70">
        <v>224527926</v>
      </c>
      <c r="AY70">
        <v>1</v>
      </c>
      <c r="AZ70">
        <v>0</v>
      </c>
      <c r="BA70">
        <v>84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CX70">
        <f>Y70*Source!I82</f>
        <v>2.7648E-3</v>
      </c>
      <c r="CY70">
        <f t="shared" si="6"/>
        <v>586.47</v>
      </c>
      <c r="CZ70">
        <f t="shared" si="7"/>
        <v>586.47</v>
      </c>
      <c r="DA70">
        <f t="shared" si="8"/>
        <v>1</v>
      </c>
      <c r="DB70">
        <f t="shared" si="9"/>
        <v>7.04</v>
      </c>
      <c r="DC70">
        <f t="shared" si="10"/>
        <v>0</v>
      </c>
    </row>
    <row r="71" spans="1:107" x14ac:dyDescent="0.2">
      <c r="A71">
        <f>ROW(Source!A82)</f>
        <v>82</v>
      </c>
      <c r="B71">
        <v>224527337</v>
      </c>
      <c r="C71">
        <v>224527870</v>
      </c>
      <c r="D71">
        <v>222911579</v>
      </c>
      <c r="E71">
        <v>1</v>
      </c>
      <c r="F71">
        <v>1</v>
      </c>
      <c r="G71">
        <v>1</v>
      </c>
      <c r="H71">
        <v>3</v>
      </c>
      <c r="I71" t="s">
        <v>627</v>
      </c>
      <c r="J71" t="s">
        <v>628</v>
      </c>
      <c r="K71" t="s">
        <v>629</v>
      </c>
      <c r="L71">
        <v>1327</v>
      </c>
      <c r="N71">
        <v>1005</v>
      </c>
      <c r="O71" t="s">
        <v>73</v>
      </c>
      <c r="P71" t="s">
        <v>73</v>
      </c>
      <c r="Q71">
        <v>1</v>
      </c>
      <c r="W71">
        <v>0</v>
      </c>
      <c r="X71">
        <v>105551837</v>
      </c>
      <c r="Y71">
        <v>1.6</v>
      </c>
      <c r="AA71">
        <v>72.319999999999993</v>
      </c>
      <c r="AB71">
        <v>0</v>
      </c>
      <c r="AC71">
        <v>0</v>
      </c>
      <c r="AD71">
        <v>0</v>
      </c>
      <c r="AE71">
        <v>72.319999999999993</v>
      </c>
      <c r="AF71">
        <v>0</v>
      </c>
      <c r="AG71">
        <v>0</v>
      </c>
      <c r="AH71">
        <v>0</v>
      </c>
      <c r="AI71">
        <v>1</v>
      </c>
      <c r="AJ71">
        <v>1</v>
      </c>
      <c r="AK71">
        <v>1</v>
      </c>
      <c r="AL71">
        <v>1</v>
      </c>
      <c r="AN71">
        <v>0</v>
      </c>
      <c r="AO71">
        <v>1</v>
      </c>
      <c r="AP71">
        <v>0</v>
      </c>
      <c r="AQ71">
        <v>0</v>
      </c>
      <c r="AR71">
        <v>0</v>
      </c>
      <c r="AS71" t="s">
        <v>2</v>
      </c>
      <c r="AT71">
        <v>1.6</v>
      </c>
      <c r="AU71" t="s">
        <v>2</v>
      </c>
      <c r="AV71">
        <v>0</v>
      </c>
      <c r="AW71">
        <v>2</v>
      </c>
      <c r="AX71">
        <v>224527927</v>
      </c>
      <c r="AY71">
        <v>1</v>
      </c>
      <c r="AZ71">
        <v>0</v>
      </c>
      <c r="BA71">
        <v>85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CX71">
        <f>Y71*Source!I82</f>
        <v>0.36864000000000002</v>
      </c>
      <c r="CY71">
        <f t="shared" si="6"/>
        <v>72.319999999999993</v>
      </c>
      <c r="CZ71">
        <f t="shared" si="7"/>
        <v>72.319999999999993</v>
      </c>
      <c r="DA71">
        <f t="shared" si="8"/>
        <v>1</v>
      </c>
      <c r="DB71">
        <f t="shared" si="9"/>
        <v>115.71</v>
      </c>
      <c r="DC71">
        <f t="shared" si="10"/>
        <v>0</v>
      </c>
    </row>
    <row r="72" spans="1:107" x14ac:dyDescent="0.2">
      <c r="A72">
        <f>ROW(Source!A82)</f>
        <v>82</v>
      </c>
      <c r="B72">
        <v>224527337</v>
      </c>
      <c r="C72">
        <v>224527870</v>
      </c>
      <c r="D72">
        <v>222938653</v>
      </c>
      <c r="E72">
        <v>1</v>
      </c>
      <c r="F72">
        <v>1</v>
      </c>
      <c r="G72">
        <v>1</v>
      </c>
      <c r="H72">
        <v>3</v>
      </c>
      <c r="I72" t="s">
        <v>691</v>
      </c>
      <c r="J72" t="s">
        <v>692</v>
      </c>
      <c r="K72" t="s">
        <v>693</v>
      </c>
      <c r="L72">
        <v>1346</v>
      </c>
      <c r="N72">
        <v>1009</v>
      </c>
      <c r="O72" t="s">
        <v>33</v>
      </c>
      <c r="P72" t="s">
        <v>33</v>
      </c>
      <c r="Q72">
        <v>1</v>
      </c>
      <c r="W72">
        <v>0</v>
      </c>
      <c r="X72">
        <v>2035332762</v>
      </c>
      <c r="Y72">
        <v>2.4300000000000002</v>
      </c>
      <c r="AA72">
        <v>8.09</v>
      </c>
      <c r="AB72">
        <v>0</v>
      </c>
      <c r="AC72">
        <v>0</v>
      </c>
      <c r="AD72">
        <v>0</v>
      </c>
      <c r="AE72">
        <v>8.09</v>
      </c>
      <c r="AF72">
        <v>0</v>
      </c>
      <c r="AG72">
        <v>0</v>
      </c>
      <c r="AH72">
        <v>0</v>
      </c>
      <c r="AI72">
        <v>1</v>
      </c>
      <c r="AJ72">
        <v>1</v>
      </c>
      <c r="AK72">
        <v>1</v>
      </c>
      <c r="AL72">
        <v>1</v>
      </c>
      <c r="AN72">
        <v>0</v>
      </c>
      <c r="AO72">
        <v>1</v>
      </c>
      <c r="AP72">
        <v>0</v>
      </c>
      <c r="AQ72">
        <v>0</v>
      </c>
      <c r="AR72">
        <v>0</v>
      </c>
      <c r="AS72" t="s">
        <v>2</v>
      </c>
      <c r="AT72">
        <v>2.4300000000000002</v>
      </c>
      <c r="AU72" t="s">
        <v>2</v>
      </c>
      <c r="AV72">
        <v>0</v>
      </c>
      <c r="AW72">
        <v>2</v>
      </c>
      <c r="AX72">
        <v>224527928</v>
      </c>
      <c r="AY72">
        <v>1</v>
      </c>
      <c r="AZ72">
        <v>0</v>
      </c>
      <c r="BA72">
        <v>86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CX72">
        <f>Y72*Source!I82</f>
        <v>0.55987200000000004</v>
      </c>
      <c r="CY72">
        <f t="shared" si="6"/>
        <v>8.09</v>
      </c>
      <c r="CZ72">
        <f t="shared" si="7"/>
        <v>8.09</v>
      </c>
      <c r="DA72">
        <f t="shared" si="8"/>
        <v>1</v>
      </c>
      <c r="DB72">
        <f t="shared" si="9"/>
        <v>19.66</v>
      </c>
      <c r="DC72">
        <f t="shared" si="10"/>
        <v>0</v>
      </c>
    </row>
    <row r="73" spans="1:107" x14ac:dyDescent="0.2">
      <c r="A73">
        <f>ROW(Source!A82)</f>
        <v>82</v>
      </c>
      <c r="B73">
        <v>224527337</v>
      </c>
      <c r="C73">
        <v>224527870</v>
      </c>
      <c r="D73">
        <v>222940670</v>
      </c>
      <c r="E73">
        <v>1</v>
      </c>
      <c r="F73">
        <v>1</v>
      </c>
      <c r="G73">
        <v>1</v>
      </c>
      <c r="H73">
        <v>3</v>
      </c>
      <c r="I73" t="s">
        <v>633</v>
      </c>
      <c r="J73" t="s">
        <v>634</v>
      </c>
      <c r="K73" t="s">
        <v>635</v>
      </c>
      <c r="L73">
        <v>1348</v>
      </c>
      <c r="N73">
        <v>1009</v>
      </c>
      <c r="O73" t="s">
        <v>18</v>
      </c>
      <c r="P73" t="s">
        <v>18</v>
      </c>
      <c r="Q73">
        <v>1000</v>
      </c>
      <c r="W73">
        <v>0</v>
      </c>
      <c r="X73">
        <v>-1516654830</v>
      </c>
      <c r="Y73">
        <v>6.7999999999999996E-3</v>
      </c>
      <c r="AA73">
        <v>4294</v>
      </c>
      <c r="AB73">
        <v>0</v>
      </c>
      <c r="AC73">
        <v>0</v>
      </c>
      <c r="AD73">
        <v>0</v>
      </c>
      <c r="AE73">
        <v>4294</v>
      </c>
      <c r="AF73">
        <v>0</v>
      </c>
      <c r="AG73">
        <v>0</v>
      </c>
      <c r="AH73">
        <v>0</v>
      </c>
      <c r="AI73">
        <v>1</v>
      </c>
      <c r="AJ73">
        <v>1</v>
      </c>
      <c r="AK73">
        <v>1</v>
      </c>
      <c r="AL73">
        <v>1</v>
      </c>
      <c r="AN73">
        <v>0</v>
      </c>
      <c r="AO73">
        <v>1</v>
      </c>
      <c r="AP73">
        <v>0</v>
      </c>
      <c r="AQ73">
        <v>0</v>
      </c>
      <c r="AR73">
        <v>0</v>
      </c>
      <c r="AS73" t="s">
        <v>2</v>
      </c>
      <c r="AT73">
        <v>6.7999999999999996E-3</v>
      </c>
      <c r="AU73" t="s">
        <v>2</v>
      </c>
      <c r="AV73">
        <v>0</v>
      </c>
      <c r="AW73">
        <v>2</v>
      </c>
      <c r="AX73">
        <v>224527930</v>
      </c>
      <c r="AY73">
        <v>1</v>
      </c>
      <c r="AZ73">
        <v>0</v>
      </c>
      <c r="BA73">
        <v>88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CX73">
        <f>Y73*Source!I82</f>
        <v>1.56672E-3</v>
      </c>
      <c r="CY73">
        <f t="shared" si="6"/>
        <v>4294</v>
      </c>
      <c r="CZ73">
        <f t="shared" si="7"/>
        <v>4294</v>
      </c>
      <c r="DA73">
        <f t="shared" si="8"/>
        <v>1</v>
      </c>
      <c r="DB73">
        <f t="shared" si="9"/>
        <v>29.2</v>
      </c>
      <c r="DC73">
        <f t="shared" si="10"/>
        <v>0</v>
      </c>
    </row>
    <row r="74" spans="1:107" x14ac:dyDescent="0.2">
      <c r="A74">
        <f>ROW(Source!A84)</f>
        <v>84</v>
      </c>
      <c r="B74">
        <v>224527337</v>
      </c>
      <c r="C74">
        <v>224527932</v>
      </c>
      <c r="D74">
        <v>222896005</v>
      </c>
      <c r="E74">
        <v>70</v>
      </c>
      <c r="F74">
        <v>1</v>
      </c>
      <c r="G74">
        <v>1</v>
      </c>
      <c r="H74">
        <v>1</v>
      </c>
      <c r="I74" t="s">
        <v>694</v>
      </c>
      <c r="J74" t="s">
        <v>2</v>
      </c>
      <c r="K74" t="s">
        <v>695</v>
      </c>
      <c r="L74">
        <v>1191</v>
      </c>
      <c r="N74">
        <v>74472246</v>
      </c>
      <c r="O74" t="s">
        <v>600</v>
      </c>
      <c r="P74" t="s">
        <v>600</v>
      </c>
      <c r="Q74">
        <v>1</v>
      </c>
      <c r="W74">
        <v>0</v>
      </c>
      <c r="X74">
        <v>-1111239348</v>
      </c>
      <c r="Y74">
        <v>98.416999999999987</v>
      </c>
      <c r="AA74">
        <v>0</v>
      </c>
      <c r="AB74">
        <v>0</v>
      </c>
      <c r="AC74">
        <v>0</v>
      </c>
      <c r="AD74">
        <v>9.6199999999999992</v>
      </c>
      <c r="AE74">
        <v>0</v>
      </c>
      <c r="AF74">
        <v>0</v>
      </c>
      <c r="AG74">
        <v>0</v>
      </c>
      <c r="AH74">
        <v>9.6199999999999992</v>
      </c>
      <c r="AI74">
        <v>1</v>
      </c>
      <c r="AJ74">
        <v>1</v>
      </c>
      <c r="AK74">
        <v>1</v>
      </c>
      <c r="AL74">
        <v>1</v>
      </c>
      <c r="AN74">
        <v>0</v>
      </c>
      <c r="AO74">
        <v>1</v>
      </c>
      <c r="AP74">
        <v>1</v>
      </c>
      <c r="AQ74">
        <v>0</v>
      </c>
      <c r="AR74">
        <v>0</v>
      </c>
      <c r="AS74" t="s">
        <v>2</v>
      </c>
      <c r="AT74">
        <v>77.8</v>
      </c>
      <c r="AU74" t="s">
        <v>189</v>
      </c>
      <c r="AV74">
        <v>1</v>
      </c>
      <c r="AW74">
        <v>2</v>
      </c>
      <c r="AX74">
        <v>224527964</v>
      </c>
      <c r="AY74">
        <v>1</v>
      </c>
      <c r="AZ74">
        <v>0</v>
      </c>
      <c r="BA74">
        <v>89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CX74">
        <f>Y74*Source!I84</f>
        <v>11.810039999999997</v>
      </c>
      <c r="CY74">
        <f>AD74</f>
        <v>9.6199999999999992</v>
      </c>
      <c r="CZ74">
        <f>AH74</f>
        <v>9.6199999999999992</v>
      </c>
      <c r="DA74">
        <f>AL74</f>
        <v>1</v>
      </c>
      <c r="DB74">
        <f>ROUND(((ROUND(AT74*CZ74,2)*1.1)*1.15),2)</f>
        <v>946.78</v>
      </c>
      <c r="DC74">
        <f>ROUND(((ROUND(AT74*AG74,2)*1.1)*1.15),2)</f>
        <v>0</v>
      </c>
    </row>
    <row r="75" spans="1:107" x14ac:dyDescent="0.2">
      <c r="A75">
        <f>ROW(Source!A84)</f>
        <v>84</v>
      </c>
      <c r="B75">
        <v>224527337</v>
      </c>
      <c r="C75">
        <v>224527932</v>
      </c>
      <c r="D75">
        <v>222896153</v>
      </c>
      <c r="E75">
        <v>70</v>
      </c>
      <c r="F75">
        <v>1</v>
      </c>
      <c r="G75">
        <v>1</v>
      </c>
      <c r="H75">
        <v>1</v>
      </c>
      <c r="I75" t="s">
        <v>607</v>
      </c>
      <c r="J75" t="s">
        <v>2</v>
      </c>
      <c r="K75" t="s">
        <v>608</v>
      </c>
      <c r="L75">
        <v>1191</v>
      </c>
      <c r="N75">
        <v>74472246</v>
      </c>
      <c r="O75" t="s">
        <v>600</v>
      </c>
      <c r="P75" t="s">
        <v>600</v>
      </c>
      <c r="Q75">
        <v>1</v>
      </c>
      <c r="W75">
        <v>0</v>
      </c>
      <c r="X75">
        <v>-1417349443</v>
      </c>
      <c r="Y75">
        <v>0.48299999999999993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1</v>
      </c>
      <c r="AJ75">
        <v>1</v>
      </c>
      <c r="AK75">
        <v>1</v>
      </c>
      <c r="AL75">
        <v>1</v>
      </c>
      <c r="AN75">
        <v>0</v>
      </c>
      <c r="AO75">
        <v>1</v>
      </c>
      <c r="AP75">
        <v>1</v>
      </c>
      <c r="AQ75">
        <v>0</v>
      </c>
      <c r="AR75">
        <v>0</v>
      </c>
      <c r="AS75" t="s">
        <v>2</v>
      </c>
      <c r="AT75">
        <v>0.42</v>
      </c>
      <c r="AU75" t="s">
        <v>179</v>
      </c>
      <c r="AV75">
        <v>2</v>
      </c>
      <c r="AW75">
        <v>2</v>
      </c>
      <c r="AX75">
        <v>224527965</v>
      </c>
      <c r="AY75">
        <v>1</v>
      </c>
      <c r="AZ75">
        <v>0</v>
      </c>
      <c r="BA75">
        <v>90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CX75">
        <f>Y75*Source!I84</f>
        <v>5.7959999999999991E-2</v>
      </c>
      <c r="CY75">
        <f>AD75</f>
        <v>0</v>
      </c>
      <c r="CZ75">
        <f>AH75</f>
        <v>0</v>
      </c>
      <c r="DA75">
        <f>AL75</f>
        <v>1</v>
      </c>
      <c r="DB75">
        <f>ROUND((ROUND(AT75*CZ75,2)*1.15),2)</f>
        <v>0</v>
      </c>
      <c r="DC75">
        <f>ROUND((ROUND(AT75*AG75,2)*1.15),2)</f>
        <v>0</v>
      </c>
    </row>
    <row r="76" spans="1:107" x14ac:dyDescent="0.2">
      <c r="A76">
        <f>ROW(Source!A84)</f>
        <v>84</v>
      </c>
      <c r="B76">
        <v>224527337</v>
      </c>
      <c r="C76">
        <v>224527932</v>
      </c>
      <c r="D76">
        <v>223058015</v>
      </c>
      <c r="E76">
        <v>1</v>
      </c>
      <c r="F76">
        <v>1</v>
      </c>
      <c r="G76">
        <v>1</v>
      </c>
      <c r="H76">
        <v>2</v>
      </c>
      <c r="I76" t="s">
        <v>613</v>
      </c>
      <c r="J76" t="s">
        <v>614</v>
      </c>
      <c r="K76" t="s">
        <v>615</v>
      </c>
      <c r="L76">
        <v>1367</v>
      </c>
      <c r="N76">
        <v>1011</v>
      </c>
      <c r="O76" t="s">
        <v>612</v>
      </c>
      <c r="P76" t="s">
        <v>612</v>
      </c>
      <c r="Q76">
        <v>1</v>
      </c>
      <c r="W76">
        <v>0</v>
      </c>
      <c r="X76">
        <v>1232162608</v>
      </c>
      <c r="Y76">
        <v>0.24149999999999996</v>
      </c>
      <c r="AA76">
        <v>0</v>
      </c>
      <c r="AB76">
        <v>31.26</v>
      </c>
      <c r="AC76">
        <v>13.5</v>
      </c>
      <c r="AD76">
        <v>0</v>
      </c>
      <c r="AE76">
        <v>0</v>
      </c>
      <c r="AF76">
        <v>31.26</v>
      </c>
      <c r="AG76">
        <v>13.5</v>
      </c>
      <c r="AH76">
        <v>0</v>
      </c>
      <c r="AI76">
        <v>1</v>
      </c>
      <c r="AJ76">
        <v>1</v>
      </c>
      <c r="AK76">
        <v>1</v>
      </c>
      <c r="AL76">
        <v>1</v>
      </c>
      <c r="AN76">
        <v>0</v>
      </c>
      <c r="AO76">
        <v>1</v>
      </c>
      <c r="AP76">
        <v>1</v>
      </c>
      <c r="AQ76">
        <v>0</v>
      </c>
      <c r="AR76">
        <v>0</v>
      </c>
      <c r="AS76" t="s">
        <v>2</v>
      </c>
      <c r="AT76">
        <v>0.21</v>
      </c>
      <c r="AU76" t="s">
        <v>179</v>
      </c>
      <c r="AV76">
        <v>0</v>
      </c>
      <c r="AW76">
        <v>2</v>
      </c>
      <c r="AX76">
        <v>224527966</v>
      </c>
      <c r="AY76">
        <v>1</v>
      </c>
      <c r="AZ76">
        <v>0</v>
      </c>
      <c r="BA76">
        <v>91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CX76">
        <f>Y76*Source!I84</f>
        <v>2.8979999999999995E-2</v>
      </c>
      <c r="CY76">
        <f>AB76</f>
        <v>31.26</v>
      </c>
      <c r="CZ76">
        <f>AF76</f>
        <v>31.26</v>
      </c>
      <c r="DA76">
        <f>AJ76</f>
        <v>1</v>
      </c>
      <c r="DB76">
        <f>ROUND((ROUND(AT76*CZ76,2)*1.15),2)</f>
        <v>7.54</v>
      </c>
      <c r="DC76">
        <f>ROUND((ROUND(AT76*AG76,2)*1.15),2)</f>
        <v>3.27</v>
      </c>
    </row>
    <row r="77" spans="1:107" x14ac:dyDescent="0.2">
      <c r="A77">
        <f>ROW(Source!A84)</f>
        <v>84</v>
      </c>
      <c r="B77">
        <v>224527337</v>
      </c>
      <c r="C77">
        <v>224527932</v>
      </c>
      <c r="D77">
        <v>223058751</v>
      </c>
      <c r="E77">
        <v>1</v>
      </c>
      <c r="F77">
        <v>1</v>
      </c>
      <c r="G77">
        <v>1</v>
      </c>
      <c r="H77">
        <v>2</v>
      </c>
      <c r="I77" t="s">
        <v>624</v>
      </c>
      <c r="J77" t="s">
        <v>625</v>
      </c>
      <c r="K77" t="s">
        <v>626</v>
      </c>
      <c r="L77">
        <v>1367</v>
      </c>
      <c r="N77">
        <v>1011</v>
      </c>
      <c r="O77" t="s">
        <v>612</v>
      </c>
      <c r="P77" t="s">
        <v>612</v>
      </c>
      <c r="Q77">
        <v>1</v>
      </c>
      <c r="W77">
        <v>0</v>
      </c>
      <c r="X77">
        <v>509054691</v>
      </c>
      <c r="Y77">
        <v>0.24149999999999996</v>
      </c>
      <c r="AA77">
        <v>0</v>
      </c>
      <c r="AB77">
        <v>65.709999999999994</v>
      </c>
      <c r="AC77">
        <v>11.6</v>
      </c>
      <c r="AD77">
        <v>0</v>
      </c>
      <c r="AE77">
        <v>0</v>
      </c>
      <c r="AF77">
        <v>65.709999999999994</v>
      </c>
      <c r="AG77">
        <v>11.6</v>
      </c>
      <c r="AH77">
        <v>0</v>
      </c>
      <c r="AI77">
        <v>1</v>
      </c>
      <c r="AJ77">
        <v>1</v>
      </c>
      <c r="AK77">
        <v>1</v>
      </c>
      <c r="AL77">
        <v>1</v>
      </c>
      <c r="AN77">
        <v>0</v>
      </c>
      <c r="AO77">
        <v>1</v>
      </c>
      <c r="AP77">
        <v>1</v>
      </c>
      <c r="AQ77">
        <v>0</v>
      </c>
      <c r="AR77">
        <v>0</v>
      </c>
      <c r="AS77" t="s">
        <v>2</v>
      </c>
      <c r="AT77">
        <v>0.21</v>
      </c>
      <c r="AU77" t="s">
        <v>179</v>
      </c>
      <c r="AV77">
        <v>0</v>
      </c>
      <c r="AW77">
        <v>2</v>
      </c>
      <c r="AX77">
        <v>224527967</v>
      </c>
      <c r="AY77">
        <v>1</v>
      </c>
      <c r="AZ77">
        <v>0</v>
      </c>
      <c r="BA77">
        <v>92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CX77">
        <f>Y77*Source!I84</f>
        <v>2.8979999999999995E-2</v>
      </c>
      <c r="CY77">
        <f>AB77</f>
        <v>65.709999999999994</v>
      </c>
      <c r="CZ77">
        <f>AF77</f>
        <v>65.709999999999994</v>
      </c>
      <c r="DA77">
        <f>AJ77</f>
        <v>1</v>
      </c>
      <c r="DB77">
        <f>ROUND((ROUND(AT77*CZ77,2)*1.15),2)</f>
        <v>15.87</v>
      </c>
      <c r="DC77">
        <f>ROUND((ROUND(AT77*AG77,2)*1.15),2)</f>
        <v>2.81</v>
      </c>
    </row>
    <row r="78" spans="1:107" x14ac:dyDescent="0.2">
      <c r="A78">
        <f>ROW(Source!A84)</f>
        <v>84</v>
      </c>
      <c r="B78">
        <v>224527337</v>
      </c>
      <c r="C78">
        <v>224527932</v>
      </c>
      <c r="D78">
        <v>223058906</v>
      </c>
      <c r="E78">
        <v>1</v>
      </c>
      <c r="F78">
        <v>1</v>
      </c>
      <c r="G78">
        <v>1</v>
      </c>
      <c r="H78">
        <v>2</v>
      </c>
      <c r="I78" t="s">
        <v>696</v>
      </c>
      <c r="J78" t="s">
        <v>697</v>
      </c>
      <c r="K78" t="s">
        <v>698</v>
      </c>
      <c r="L78">
        <v>1367</v>
      </c>
      <c r="N78">
        <v>1011</v>
      </c>
      <c r="O78" t="s">
        <v>612</v>
      </c>
      <c r="P78" t="s">
        <v>612</v>
      </c>
      <c r="Q78">
        <v>1</v>
      </c>
      <c r="W78">
        <v>0</v>
      </c>
      <c r="X78">
        <v>2077867240</v>
      </c>
      <c r="Y78">
        <v>3.5304999999999995</v>
      </c>
      <c r="AA78">
        <v>0</v>
      </c>
      <c r="AB78">
        <v>1.2</v>
      </c>
      <c r="AC78">
        <v>0</v>
      </c>
      <c r="AD78">
        <v>0</v>
      </c>
      <c r="AE78">
        <v>0</v>
      </c>
      <c r="AF78">
        <v>1.2</v>
      </c>
      <c r="AG78">
        <v>0</v>
      </c>
      <c r="AH78">
        <v>0</v>
      </c>
      <c r="AI78">
        <v>1</v>
      </c>
      <c r="AJ78">
        <v>1</v>
      </c>
      <c r="AK78">
        <v>1</v>
      </c>
      <c r="AL78">
        <v>1</v>
      </c>
      <c r="AN78">
        <v>0</v>
      </c>
      <c r="AO78">
        <v>1</v>
      </c>
      <c r="AP78">
        <v>1</v>
      </c>
      <c r="AQ78">
        <v>0</v>
      </c>
      <c r="AR78">
        <v>0</v>
      </c>
      <c r="AS78" t="s">
        <v>2</v>
      </c>
      <c r="AT78">
        <v>3.07</v>
      </c>
      <c r="AU78" t="s">
        <v>179</v>
      </c>
      <c r="AV78">
        <v>0</v>
      </c>
      <c r="AW78">
        <v>2</v>
      </c>
      <c r="AX78">
        <v>224527968</v>
      </c>
      <c r="AY78">
        <v>1</v>
      </c>
      <c r="AZ78">
        <v>0</v>
      </c>
      <c r="BA78">
        <v>93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CX78">
        <f>Y78*Source!I84</f>
        <v>0.42365999999999993</v>
      </c>
      <c r="CY78">
        <f>AB78</f>
        <v>1.2</v>
      </c>
      <c r="CZ78">
        <f>AF78</f>
        <v>1.2</v>
      </c>
      <c r="DA78">
        <f>AJ78</f>
        <v>1</v>
      </c>
      <c r="DB78">
        <f>ROUND((ROUND(AT78*CZ78,2)*1.15),2)</f>
        <v>4.2300000000000004</v>
      </c>
      <c r="DC78">
        <f>ROUND((ROUND(AT78*AG78,2)*1.15),2)</f>
        <v>0</v>
      </c>
    </row>
    <row r="79" spans="1:107" x14ac:dyDescent="0.2">
      <c r="A79">
        <f>ROW(Source!A84)</f>
        <v>84</v>
      </c>
      <c r="B79">
        <v>224527337</v>
      </c>
      <c r="C79">
        <v>224527932</v>
      </c>
      <c r="D79">
        <v>223058963</v>
      </c>
      <c r="E79">
        <v>1</v>
      </c>
      <c r="F79">
        <v>1</v>
      </c>
      <c r="G79">
        <v>1</v>
      </c>
      <c r="H79">
        <v>2</v>
      </c>
      <c r="I79" t="s">
        <v>665</v>
      </c>
      <c r="J79" t="s">
        <v>699</v>
      </c>
      <c r="K79" t="s">
        <v>667</v>
      </c>
      <c r="L79">
        <v>1367</v>
      </c>
      <c r="N79">
        <v>1011</v>
      </c>
      <c r="O79" t="s">
        <v>612</v>
      </c>
      <c r="P79" t="s">
        <v>612</v>
      </c>
      <c r="Q79">
        <v>1</v>
      </c>
      <c r="W79">
        <v>0</v>
      </c>
      <c r="X79">
        <v>829370094</v>
      </c>
      <c r="Y79">
        <v>5.2669999999999995</v>
      </c>
      <c r="AA79">
        <v>0</v>
      </c>
      <c r="AB79">
        <v>8.1</v>
      </c>
      <c r="AC79">
        <v>0</v>
      </c>
      <c r="AD79">
        <v>0</v>
      </c>
      <c r="AE79">
        <v>0</v>
      </c>
      <c r="AF79">
        <v>8.1</v>
      </c>
      <c r="AG79">
        <v>0</v>
      </c>
      <c r="AH79">
        <v>0</v>
      </c>
      <c r="AI79">
        <v>1</v>
      </c>
      <c r="AJ79">
        <v>1</v>
      </c>
      <c r="AK79">
        <v>1</v>
      </c>
      <c r="AL79">
        <v>1</v>
      </c>
      <c r="AN79">
        <v>0</v>
      </c>
      <c r="AO79">
        <v>1</v>
      </c>
      <c r="AP79">
        <v>1</v>
      </c>
      <c r="AQ79">
        <v>0</v>
      </c>
      <c r="AR79">
        <v>0</v>
      </c>
      <c r="AS79" t="s">
        <v>2</v>
      </c>
      <c r="AT79">
        <v>4.58</v>
      </c>
      <c r="AU79" t="s">
        <v>179</v>
      </c>
      <c r="AV79">
        <v>0</v>
      </c>
      <c r="AW79">
        <v>2</v>
      </c>
      <c r="AX79">
        <v>224527969</v>
      </c>
      <c r="AY79">
        <v>1</v>
      </c>
      <c r="AZ79">
        <v>0</v>
      </c>
      <c r="BA79">
        <v>94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CX79">
        <f>Y79*Source!I84</f>
        <v>0.63203999999999994</v>
      </c>
      <c r="CY79">
        <f>AB79</f>
        <v>8.1</v>
      </c>
      <c r="CZ79">
        <f>AF79</f>
        <v>8.1</v>
      </c>
      <c r="DA79">
        <f>AJ79</f>
        <v>1</v>
      </c>
      <c r="DB79">
        <f>ROUND((ROUND(AT79*CZ79,2)*1.15),2)</f>
        <v>42.67</v>
      </c>
      <c r="DC79">
        <f>ROUND((ROUND(AT79*AG79,2)*1.15),2)</f>
        <v>0</v>
      </c>
    </row>
    <row r="80" spans="1:107" x14ac:dyDescent="0.2">
      <c r="A80">
        <f>ROW(Source!A84)</f>
        <v>84</v>
      </c>
      <c r="B80">
        <v>224527337</v>
      </c>
      <c r="C80">
        <v>224527932</v>
      </c>
      <c r="D80">
        <v>222906832</v>
      </c>
      <c r="E80">
        <v>1</v>
      </c>
      <c r="F80">
        <v>1</v>
      </c>
      <c r="G80">
        <v>1</v>
      </c>
      <c r="H80">
        <v>3</v>
      </c>
      <c r="I80" t="s">
        <v>700</v>
      </c>
      <c r="J80" t="s">
        <v>701</v>
      </c>
      <c r="K80" t="s">
        <v>702</v>
      </c>
      <c r="L80">
        <v>1339</v>
      </c>
      <c r="N80">
        <v>1007</v>
      </c>
      <c r="O80" t="s">
        <v>215</v>
      </c>
      <c r="P80" t="s">
        <v>215</v>
      </c>
      <c r="Q80">
        <v>1</v>
      </c>
      <c r="W80">
        <v>0</v>
      </c>
      <c r="X80">
        <v>-888710213</v>
      </c>
      <c r="Y80">
        <v>0.23</v>
      </c>
      <c r="AA80">
        <v>38.51</v>
      </c>
      <c r="AB80">
        <v>0</v>
      </c>
      <c r="AC80">
        <v>0</v>
      </c>
      <c r="AD80">
        <v>0</v>
      </c>
      <c r="AE80">
        <v>38.51</v>
      </c>
      <c r="AF80">
        <v>0</v>
      </c>
      <c r="AG80">
        <v>0</v>
      </c>
      <c r="AH80">
        <v>0</v>
      </c>
      <c r="AI80">
        <v>1</v>
      </c>
      <c r="AJ80">
        <v>1</v>
      </c>
      <c r="AK80">
        <v>1</v>
      </c>
      <c r="AL80">
        <v>1</v>
      </c>
      <c r="AN80">
        <v>0</v>
      </c>
      <c r="AO80">
        <v>1</v>
      </c>
      <c r="AP80">
        <v>0</v>
      </c>
      <c r="AQ80">
        <v>0</v>
      </c>
      <c r="AR80">
        <v>0</v>
      </c>
      <c r="AS80" t="s">
        <v>2</v>
      </c>
      <c r="AT80">
        <v>0.23</v>
      </c>
      <c r="AU80" t="s">
        <v>2</v>
      </c>
      <c r="AV80">
        <v>0</v>
      </c>
      <c r="AW80">
        <v>2</v>
      </c>
      <c r="AX80">
        <v>224527970</v>
      </c>
      <c r="AY80">
        <v>1</v>
      </c>
      <c r="AZ80">
        <v>0</v>
      </c>
      <c r="BA80">
        <v>95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CX80">
        <f>Y80*Source!I84</f>
        <v>2.76E-2</v>
      </c>
      <c r="CY80">
        <f t="shared" ref="CY80:CY86" si="11">AA80</f>
        <v>38.51</v>
      </c>
      <c r="CZ80">
        <f t="shared" ref="CZ80:CZ86" si="12">AE80</f>
        <v>38.51</v>
      </c>
      <c r="DA80">
        <f t="shared" ref="DA80:DA86" si="13">AI80</f>
        <v>1</v>
      </c>
      <c r="DB80">
        <f t="shared" ref="DB80:DB86" si="14">ROUND(ROUND(AT80*CZ80,2),2)</f>
        <v>8.86</v>
      </c>
      <c r="DC80">
        <f t="shared" ref="DC80:DC86" si="15">ROUND(ROUND(AT80*AG80,2),2)</f>
        <v>0</v>
      </c>
    </row>
    <row r="81" spans="1:107" x14ac:dyDescent="0.2">
      <c r="A81">
        <f>ROW(Source!A84)</f>
        <v>84</v>
      </c>
      <c r="B81">
        <v>224527337</v>
      </c>
      <c r="C81">
        <v>224527932</v>
      </c>
      <c r="D81">
        <v>222906850</v>
      </c>
      <c r="E81">
        <v>1</v>
      </c>
      <c r="F81">
        <v>1</v>
      </c>
      <c r="G81">
        <v>1</v>
      </c>
      <c r="H81">
        <v>3</v>
      </c>
      <c r="I81" t="s">
        <v>703</v>
      </c>
      <c r="J81" t="s">
        <v>704</v>
      </c>
      <c r="K81" t="s">
        <v>705</v>
      </c>
      <c r="L81">
        <v>1339</v>
      </c>
      <c r="N81">
        <v>1007</v>
      </c>
      <c r="O81" t="s">
        <v>215</v>
      </c>
      <c r="P81" t="s">
        <v>215</v>
      </c>
      <c r="Q81">
        <v>1</v>
      </c>
      <c r="W81">
        <v>0</v>
      </c>
      <c r="X81">
        <v>-1761807714</v>
      </c>
      <c r="Y81">
        <v>0.51</v>
      </c>
      <c r="AA81">
        <v>6.22</v>
      </c>
      <c r="AB81">
        <v>0</v>
      </c>
      <c r="AC81">
        <v>0</v>
      </c>
      <c r="AD81">
        <v>0</v>
      </c>
      <c r="AE81">
        <v>6.22</v>
      </c>
      <c r="AF81">
        <v>0</v>
      </c>
      <c r="AG81">
        <v>0</v>
      </c>
      <c r="AH81">
        <v>0</v>
      </c>
      <c r="AI81">
        <v>1</v>
      </c>
      <c r="AJ81">
        <v>1</v>
      </c>
      <c r="AK81">
        <v>1</v>
      </c>
      <c r="AL81">
        <v>1</v>
      </c>
      <c r="AN81">
        <v>0</v>
      </c>
      <c r="AO81">
        <v>1</v>
      </c>
      <c r="AP81">
        <v>0</v>
      </c>
      <c r="AQ81">
        <v>0</v>
      </c>
      <c r="AR81">
        <v>0</v>
      </c>
      <c r="AS81" t="s">
        <v>2</v>
      </c>
      <c r="AT81">
        <v>0.51</v>
      </c>
      <c r="AU81" t="s">
        <v>2</v>
      </c>
      <c r="AV81">
        <v>0</v>
      </c>
      <c r="AW81">
        <v>2</v>
      </c>
      <c r="AX81">
        <v>224527971</v>
      </c>
      <c r="AY81">
        <v>1</v>
      </c>
      <c r="AZ81">
        <v>0</v>
      </c>
      <c r="BA81">
        <v>96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CX81">
        <f>Y81*Source!I84</f>
        <v>6.1199999999999997E-2</v>
      </c>
      <c r="CY81">
        <f t="shared" si="11"/>
        <v>6.22</v>
      </c>
      <c r="CZ81">
        <f t="shared" si="12"/>
        <v>6.22</v>
      </c>
      <c r="DA81">
        <f t="shared" si="13"/>
        <v>1</v>
      </c>
      <c r="DB81">
        <f t="shared" si="14"/>
        <v>3.17</v>
      </c>
      <c r="DC81">
        <f t="shared" si="15"/>
        <v>0</v>
      </c>
    </row>
    <row r="82" spans="1:107" x14ac:dyDescent="0.2">
      <c r="A82">
        <f>ROW(Source!A84)</f>
        <v>84</v>
      </c>
      <c r="B82">
        <v>224527337</v>
      </c>
      <c r="C82">
        <v>224527932</v>
      </c>
      <c r="D82">
        <v>222909099</v>
      </c>
      <c r="E82">
        <v>1</v>
      </c>
      <c r="F82">
        <v>1</v>
      </c>
      <c r="G82">
        <v>1</v>
      </c>
      <c r="H82">
        <v>3</v>
      </c>
      <c r="I82" t="s">
        <v>706</v>
      </c>
      <c r="J82" t="s">
        <v>707</v>
      </c>
      <c r="K82" t="s">
        <v>708</v>
      </c>
      <c r="L82">
        <v>1346</v>
      </c>
      <c r="N82">
        <v>1009</v>
      </c>
      <c r="O82" t="s">
        <v>33</v>
      </c>
      <c r="P82" t="s">
        <v>33</v>
      </c>
      <c r="Q82">
        <v>1</v>
      </c>
      <c r="W82">
        <v>0</v>
      </c>
      <c r="X82">
        <v>-617477323</v>
      </c>
      <c r="Y82">
        <v>0.05</v>
      </c>
      <c r="AA82">
        <v>37.29</v>
      </c>
      <c r="AB82">
        <v>0</v>
      </c>
      <c r="AC82">
        <v>0</v>
      </c>
      <c r="AD82">
        <v>0</v>
      </c>
      <c r="AE82">
        <v>37.29</v>
      </c>
      <c r="AF82">
        <v>0</v>
      </c>
      <c r="AG82">
        <v>0</v>
      </c>
      <c r="AH82">
        <v>0</v>
      </c>
      <c r="AI82">
        <v>1</v>
      </c>
      <c r="AJ82">
        <v>1</v>
      </c>
      <c r="AK82">
        <v>1</v>
      </c>
      <c r="AL82">
        <v>1</v>
      </c>
      <c r="AN82">
        <v>0</v>
      </c>
      <c r="AO82">
        <v>1</v>
      </c>
      <c r="AP82">
        <v>0</v>
      </c>
      <c r="AQ82">
        <v>0</v>
      </c>
      <c r="AR82">
        <v>0</v>
      </c>
      <c r="AS82" t="s">
        <v>2</v>
      </c>
      <c r="AT82">
        <v>0.05</v>
      </c>
      <c r="AU82" t="s">
        <v>2</v>
      </c>
      <c r="AV82">
        <v>0</v>
      </c>
      <c r="AW82">
        <v>2</v>
      </c>
      <c r="AX82">
        <v>224527972</v>
      </c>
      <c r="AY82">
        <v>1</v>
      </c>
      <c r="AZ82">
        <v>0</v>
      </c>
      <c r="BA82">
        <v>97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CX82">
        <f>Y82*Source!I84</f>
        <v>6.0000000000000001E-3</v>
      </c>
      <c r="CY82">
        <f t="shared" si="11"/>
        <v>37.29</v>
      </c>
      <c r="CZ82">
        <f t="shared" si="12"/>
        <v>37.29</v>
      </c>
      <c r="DA82">
        <f t="shared" si="13"/>
        <v>1</v>
      </c>
      <c r="DB82">
        <f t="shared" si="14"/>
        <v>1.86</v>
      </c>
      <c r="DC82">
        <f t="shared" si="15"/>
        <v>0</v>
      </c>
    </row>
    <row r="83" spans="1:107" x14ac:dyDescent="0.2">
      <c r="A83">
        <f>ROW(Source!A84)</f>
        <v>84</v>
      </c>
      <c r="B83">
        <v>224527337</v>
      </c>
      <c r="C83">
        <v>224527932</v>
      </c>
      <c r="D83">
        <v>222909480</v>
      </c>
      <c r="E83">
        <v>1</v>
      </c>
      <c r="F83">
        <v>1</v>
      </c>
      <c r="G83">
        <v>1</v>
      </c>
      <c r="H83">
        <v>3</v>
      </c>
      <c r="I83" t="s">
        <v>709</v>
      </c>
      <c r="J83" t="s">
        <v>710</v>
      </c>
      <c r="K83" t="s">
        <v>711</v>
      </c>
      <c r="L83">
        <v>1348</v>
      </c>
      <c r="N83">
        <v>1009</v>
      </c>
      <c r="O83" t="s">
        <v>18</v>
      </c>
      <c r="P83" t="s">
        <v>18</v>
      </c>
      <c r="Q83">
        <v>1000</v>
      </c>
      <c r="W83">
        <v>0</v>
      </c>
      <c r="X83">
        <v>1913150405</v>
      </c>
      <c r="Y83">
        <v>4.0000000000000002E-4</v>
      </c>
      <c r="AA83">
        <v>13560</v>
      </c>
      <c r="AB83">
        <v>0</v>
      </c>
      <c r="AC83">
        <v>0</v>
      </c>
      <c r="AD83">
        <v>0</v>
      </c>
      <c r="AE83">
        <v>13560</v>
      </c>
      <c r="AF83">
        <v>0</v>
      </c>
      <c r="AG83">
        <v>0</v>
      </c>
      <c r="AH83">
        <v>0</v>
      </c>
      <c r="AI83">
        <v>1</v>
      </c>
      <c r="AJ83">
        <v>1</v>
      </c>
      <c r="AK83">
        <v>1</v>
      </c>
      <c r="AL83">
        <v>1</v>
      </c>
      <c r="AN83">
        <v>0</v>
      </c>
      <c r="AO83">
        <v>1</v>
      </c>
      <c r="AP83">
        <v>0</v>
      </c>
      <c r="AQ83">
        <v>0</v>
      </c>
      <c r="AR83">
        <v>0</v>
      </c>
      <c r="AS83" t="s">
        <v>2</v>
      </c>
      <c r="AT83">
        <v>4.0000000000000002E-4</v>
      </c>
      <c r="AU83" t="s">
        <v>2</v>
      </c>
      <c r="AV83">
        <v>0</v>
      </c>
      <c r="AW83">
        <v>2</v>
      </c>
      <c r="AX83">
        <v>224527973</v>
      </c>
      <c r="AY83">
        <v>1</v>
      </c>
      <c r="AZ83">
        <v>0</v>
      </c>
      <c r="BA83">
        <v>98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CX83">
        <f>Y83*Source!I84</f>
        <v>4.8000000000000001E-5</v>
      </c>
      <c r="CY83">
        <f t="shared" si="11"/>
        <v>13560</v>
      </c>
      <c r="CZ83">
        <f t="shared" si="12"/>
        <v>13560</v>
      </c>
      <c r="DA83">
        <f t="shared" si="13"/>
        <v>1</v>
      </c>
      <c r="DB83">
        <f t="shared" si="14"/>
        <v>5.42</v>
      </c>
      <c r="DC83">
        <f t="shared" si="15"/>
        <v>0</v>
      </c>
    </row>
    <row r="84" spans="1:107" x14ac:dyDescent="0.2">
      <c r="A84">
        <f>ROW(Source!A84)</f>
        <v>84</v>
      </c>
      <c r="B84">
        <v>224527337</v>
      </c>
      <c r="C84">
        <v>224527932</v>
      </c>
      <c r="D84">
        <v>222909549</v>
      </c>
      <c r="E84">
        <v>1</v>
      </c>
      <c r="F84">
        <v>1</v>
      </c>
      <c r="G84">
        <v>1</v>
      </c>
      <c r="H84">
        <v>3</v>
      </c>
      <c r="I84" t="s">
        <v>671</v>
      </c>
      <c r="J84" t="s">
        <v>712</v>
      </c>
      <c r="K84" t="s">
        <v>713</v>
      </c>
      <c r="L84">
        <v>1348</v>
      </c>
      <c r="N84">
        <v>1009</v>
      </c>
      <c r="O84" t="s">
        <v>18</v>
      </c>
      <c r="P84" t="s">
        <v>18</v>
      </c>
      <c r="Q84">
        <v>1000</v>
      </c>
      <c r="W84">
        <v>0</v>
      </c>
      <c r="X84">
        <v>1824693337</v>
      </c>
      <c r="Y84">
        <v>1.9E-3</v>
      </c>
      <c r="AA84">
        <v>10362</v>
      </c>
      <c r="AB84">
        <v>0</v>
      </c>
      <c r="AC84">
        <v>0</v>
      </c>
      <c r="AD84">
        <v>0</v>
      </c>
      <c r="AE84">
        <v>10362</v>
      </c>
      <c r="AF84">
        <v>0</v>
      </c>
      <c r="AG84">
        <v>0</v>
      </c>
      <c r="AH84">
        <v>0</v>
      </c>
      <c r="AI84">
        <v>1</v>
      </c>
      <c r="AJ84">
        <v>1</v>
      </c>
      <c r="AK84">
        <v>1</v>
      </c>
      <c r="AL84">
        <v>1</v>
      </c>
      <c r="AN84">
        <v>0</v>
      </c>
      <c r="AO84">
        <v>1</v>
      </c>
      <c r="AP84">
        <v>0</v>
      </c>
      <c r="AQ84">
        <v>0</v>
      </c>
      <c r="AR84">
        <v>0</v>
      </c>
      <c r="AS84" t="s">
        <v>2</v>
      </c>
      <c r="AT84">
        <v>1.9E-3</v>
      </c>
      <c r="AU84" t="s">
        <v>2</v>
      </c>
      <c r="AV84">
        <v>0</v>
      </c>
      <c r="AW84">
        <v>2</v>
      </c>
      <c r="AX84">
        <v>224527974</v>
      </c>
      <c r="AY84">
        <v>1</v>
      </c>
      <c r="AZ84">
        <v>0</v>
      </c>
      <c r="BA84">
        <v>99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CX84">
        <f>Y84*Source!I84</f>
        <v>2.2799999999999999E-4</v>
      </c>
      <c r="CY84">
        <f t="shared" si="11"/>
        <v>10362</v>
      </c>
      <c r="CZ84">
        <f t="shared" si="12"/>
        <v>10362</v>
      </c>
      <c r="DA84">
        <f t="shared" si="13"/>
        <v>1</v>
      </c>
      <c r="DB84">
        <f t="shared" si="14"/>
        <v>19.690000000000001</v>
      </c>
      <c r="DC84">
        <f t="shared" si="15"/>
        <v>0</v>
      </c>
    </row>
    <row r="85" spans="1:107" x14ac:dyDescent="0.2">
      <c r="A85">
        <f>ROW(Source!A84)</f>
        <v>84</v>
      </c>
      <c r="B85">
        <v>224527337</v>
      </c>
      <c r="C85">
        <v>224527932</v>
      </c>
      <c r="D85">
        <v>222939748</v>
      </c>
      <c r="E85">
        <v>1</v>
      </c>
      <c r="F85">
        <v>1</v>
      </c>
      <c r="G85">
        <v>1</v>
      </c>
      <c r="H85">
        <v>3</v>
      </c>
      <c r="I85" t="s">
        <v>714</v>
      </c>
      <c r="J85" t="s">
        <v>715</v>
      </c>
      <c r="K85" t="s">
        <v>716</v>
      </c>
      <c r="L85">
        <v>1346</v>
      </c>
      <c r="N85">
        <v>1009</v>
      </c>
      <c r="O85" t="s">
        <v>33</v>
      </c>
      <c r="P85" t="s">
        <v>33</v>
      </c>
      <c r="Q85">
        <v>1</v>
      </c>
      <c r="W85">
        <v>0</v>
      </c>
      <c r="X85">
        <v>639726700</v>
      </c>
      <c r="Y85">
        <v>0.11</v>
      </c>
      <c r="AA85">
        <v>15.12</v>
      </c>
      <c r="AB85">
        <v>0</v>
      </c>
      <c r="AC85">
        <v>0</v>
      </c>
      <c r="AD85">
        <v>0</v>
      </c>
      <c r="AE85">
        <v>15.12</v>
      </c>
      <c r="AF85">
        <v>0</v>
      </c>
      <c r="AG85">
        <v>0</v>
      </c>
      <c r="AH85">
        <v>0</v>
      </c>
      <c r="AI85">
        <v>1</v>
      </c>
      <c r="AJ85">
        <v>1</v>
      </c>
      <c r="AK85">
        <v>1</v>
      </c>
      <c r="AL85">
        <v>1</v>
      </c>
      <c r="AN85">
        <v>0</v>
      </c>
      <c r="AO85">
        <v>1</v>
      </c>
      <c r="AP85">
        <v>0</v>
      </c>
      <c r="AQ85">
        <v>0</v>
      </c>
      <c r="AR85">
        <v>0</v>
      </c>
      <c r="AS85" t="s">
        <v>2</v>
      </c>
      <c r="AT85">
        <v>0.11</v>
      </c>
      <c r="AU85" t="s">
        <v>2</v>
      </c>
      <c r="AV85">
        <v>0</v>
      </c>
      <c r="AW85">
        <v>2</v>
      </c>
      <c r="AX85">
        <v>224527975</v>
      </c>
      <c r="AY85">
        <v>1</v>
      </c>
      <c r="AZ85">
        <v>0</v>
      </c>
      <c r="BA85">
        <v>100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CX85">
        <f>Y85*Source!I84</f>
        <v>1.32E-2</v>
      </c>
      <c r="CY85">
        <f t="shared" si="11"/>
        <v>15.12</v>
      </c>
      <c r="CZ85">
        <f t="shared" si="12"/>
        <v>15.12</v>
      </c>
      <c r="DA85">
        <f t="shared" si="13"/>
        <v>1</v>
      </c>
      <c r="DB85">
        <f t="shared" si="14"/>
        <v>1.66</v>
      </c>
      <c r="DC85">
        <f t="shared" si="15"/>
        <v>0</v>
      </c>
    </row>
    <row r="86" spans="1:107" x14ac:dyDescent="0.2">
      <c r="A86">
        <f>ROW(Source!A84)</f>
        <v>84</v>
      </c>
      <c r="B86">
        <v>224527337</v>
      </c>
      <c r="C86">
        <v>224527932</v>
      </c>
      <c r="D86">
        <v>222940436</v>
      </c>
      <c r="E86">
        <v>1</v>
      </c>
      <c r="F86">
        <v>1</v>
      </c>
      <c r="G86">
        <v>1</v>
      </c>
      <c r="H86">
        <v>3</v>
      </c>
      <c r="I86" t="s">
        <v>717</v>
      </c>
      <c r="J86" t="s">
        <v>718</v>
      </c>
      <c r="K86" t="s">
        <v>719</v>
      </c>
      <c r="L86">
        <v>1348</v>
      </c>
      <c r="N86">
        <v>1009</v>
      </c>
      <c r="O86" t="s">
        <v>18</v>
      </c>
      <c r="P86" t="s">
        <v>18</v>
      </c>
      <c r="Q86">
        <v>1000</v>
      </c>
      <c r="W86">
        <v>0</v>
      </c>
      <c r="X86">
        <v>859929720</v>
      </c>
      <c r="Y86">
        <v>5.0000000000000002E-5</v>
      </c>
      <c r="AA86">
        <v>16950</v>
      </c>
      <c r="AB86">
        <v>0</v>
      </c>
      <c r="AC86">
        <v>0</v>
      </c>
      <c r="AD86">
        <v>0</v>
      </c>
      <c r="AE86">
        <v>16950</v>
      </c>
      <c r="AF86">
        <v>0</v>
      </c>
      <c r="AG86">
        <v>0</v>
      </c>
      <c r="AH86">
        <v>0</v>
      </c>
      <c r="AI86">
        <v>1</v>
      </c>
      <c r="AJ86">
        <v>1</v>
      </c>
      <c r="AK86">
        <v>1</v>
      </c>
      <c r="AL86">
        <v>1</v>
      </c>
      <c r="AN86">
        <v>0</v>
      </c>
      <c r="AO86">
        <v>1</v>
      </c>
      <c r="AP86">
        <v>0</v>
      </c>
      <c r="AQ86">
        <v>0</v>
      </c>
      <c r="AR86">
        <v>0</v>
      </c>
      <c r="AS86" t="s">
        <v>2</v>
      </c>
      <c r="AT86">
        <v>5.0000000000000002E-5</v>
      </c>
      <c r="AU86" t="s">
        <v>2</v>
      </c>
      <c r="AV86">
        <v>0</v>
      </c>
      <c r="AW86">
        <v>2</v>
      </c>
      <c r="AX86">
        <v>224527976</v>
      </c>
      <c r="AY86">
        <v>1</v>
      </c>
      <c r="AZ86">
        <v>0</v>
      </c>
      <c r="BA86">
        <v>101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CX86">
        <f>Y86*Source!I84</f>
        <v>6.0000000000000002E-6</v>
      </c>
      <c r="CY86">
        <f t="shared" si="11"/>
        <v>16950</v>
      </c>
      <c r="CZ86">
        <f t="shared" si="12"/>
        <v>16950</v>
      </c>
      <c r="DA86">
        <f t="shared" si="13"/>
        <v>1</v>
      </c>
      <c r="DB86">
        <f t="shared" si="14"/>
        <v>0.85</v>
      </c>
      <c r="DC86">
        <f t="shared" si="15"/>
        <v>0</v>
      </c>
    </row>
    <row r="87" spans="1:107" x14ac:dyDescent="0.2">
      <c r="A87">
        <f>ROW(Source!A86)</f>
        <v>86</v>
      </c>
      <c r="B87">
        <v>224527337</v>
      </c>
      <c r="C87">
        <v>224527986</v>
      </c>
      <c r="D87">
        <v>222895979</v>
      </c>
      <c r="E87">
        <v>70</v>
      </c>
      <c r="F87">
        <v>1</v>
      </c>
      <c r="G87">
        <v>1</v>
      </c>
      <c r="H87">
        <v>1</v>
      </c>
      <c r="I87" t="s">
        <v>720</v>
      </c>
      <c r="J87" t="s">
        <v>2</v>
      </c>
      <c r="K87" t="s">
        <v>721</v>
      </c>
      <c r="L87">
        <v>1191</v>
      </c>
      <c r="N87">
        <v>74472246</v>
      </c>
      <c r="O87" t="s">
        <v>600</v>
      </c>
      <c r="P87" t="s">
        <v>600</v>
      </c>
      <c r="Q87">
        <v>1</v>
      </c>
      <c r="W87">
        <v>0</v>
      </c>
      <c r="X87">
        <v>1893946532</v>
      </c>
      <c r="Y87">
        <v>2.2821750000000001</v>
      </c>
      <c r="AA87">
        <v>0</v>
      </c>
      <c r="AB87">
        <v>0</v>
      </c>
      <c r="AC87">
        <v>0</v>
      </c>
      <c r="AD87">
        <v>9.07</v>
      </c>
      <c r="AE87">
        <v>0</v>
      </c>
      <c r="AF87">
        <v>0</v>
      </c>
      <c r="AG87">
        <v>0</v>
      </c>
      <c r="AH87">
        <v>9.07</v>
      </c>
      <c r="AI87">
        <v>1</v>
      </c>
      <c r="AJ87">
        <v>1</v>
      </c>
      <c r="AK87">
        <v>1</v>
      </c>
      <c r="AL87">
        <v>1</v>
      </c>
      <c r="AN87">
        <v>0</v>
      </c>
      <c r="AO87">
        <v>1</v>
      </c>
      <c r="AP87">
        <v>1</v>
      </c>
      <c r="AQ87">
        <v>0</v>
      </c>
      <c r="AR87">
        <v>0</v>
      </c>
      <c r="AS87" t="s">
        <v>2</v>
      </c>
      <c r="AT87">
        <v>1.47</v>
      </c>
      <c r="AU87" t="s">
        <v>203</v>
      </c>
      <c r="AV87">
        <v>1</v>
      </c>
      <c r="AW87">
        <v>2</v>
      </c>
      <c r="AX87">
        <v>224527987</v>
      </c>
      <c r="AY87">
        <v>1</v>
      </c>
      <c r="AZ87">
        <v>0</v>
      </c>
      <c r="BA87">
        <v>105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CX87">
        <f>Y87*Source!I86</f>
        <v>4.5643500000000001</v>
      </c>
      <c r="CY87">
        <f>AD87</f>
        <v>9.07</v>
      </c>
      <c r="CZ87">
        <f>AH87</f>
        <v>9.07</v>
      </c>
      <c r="DA87">
        <f>AL87</f>
        <v>1</v>
      </c>
      <c r="DB87">
        <f>ROUND(((ROUND(AT87*CZ87,2)*1.15)*1.35),2)</f>
        <v>20.69</v>
      </c>
      <c r="DC87">
        <f>ROUND(((ROUND(AT87*AG87,2)*1.15)*1.35),2)</f>
        <v>0</v>
      </c>
    </row>
    <row r="88" spans="1:107" x14ac:dyDescent="0.2">
      <c r="A88">
        <f>ROW(Source!A86)</f>
        <v>86</v>
      </c>
      <c r="B88">
        <v>224527337</v>
      </c>
      <c r="C88">
        <v>224527986</v>
      </c>
      <c r="D88">
        <v>222896153</v>
      </c>
      <c r="E88">
        <v>70</v>
      </c>
      <c r="F88">
        <v>1</v>
      </c>
      <c r="G88">
        <v>1</v>
      </c>
      <c r="H88">
        <v>1</v>
      </c>
      <c r="I88" t="s">
        <v>607</v>
      </c>
      <c r="J88" t="s">
        <v>2</v>
      </c>
      <c r="K88" t="s">
        <v>608</v>
      </c>
      <c r="L88">
        <v>1191</v>
      </c>
      <c r="N88">
        <v>74472246</v>
      </c>
      <c r="O88" t="s">
        <v>600</v>
      </c>
      <c r="P88" t="s">
        <v>600</v>
      </c>
      <c r="Q88">
        <v>1</v>
      </c>
      <c r="W88">
        <v>0</v>
      </c>
      <c r="X88">
        <v>-1417349443</v>
      </c>
      <c r="Y88">
        <v>1.6875000000000001E-2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1</v>
      </c>
      <c r="AJ88">
        <v>1</v>
      </c>
      <c r="AK88">
        <v>1</v>
      </c>
      <c r="AL88">
        <v>1</v>
      </c>
      <c r="AN88">
        <v>0</v>
      </c>
      <c r="AO88">
        <v>1</v>
      </c>
      <c r="AP88">
        <v>1</v>
      </c>
      <c r="AQ88">
        <v>0</v>
      </c>
      <c r="AR88">
        <v>0</v>
      </c>
      <c r="AS88" t="s">
        <v>2</v>
      </c>
      <c r="AT88">
        <v>0.01</v>
      </c>
      <c r="AU88" t="s">
        <v>202</v>
      </c>
      <c r="AV88">
        <v>2</v>
      </c>
      <c r="AW88">
        <v>2</v>
      </c>
      <c r="AX88">
        <v>224527988</v>
      </c>
      <c r="AY88">
        <v>1</v>
      </c>
      <c r="AZ88">
        <v>0</v>
      </c>
      <c r="BA88">
        <v>106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CX88">
        <f>Y88*Source!I86</f>
        <v>3.3750000000000002E-2</v>
      </c>
      <c r="CY88">
        <f>AD88</f>
        <v>0</v>
      </c>
      <c r="CZ88">
        <f>AH88</f>
        <v>0</v>
      </c>
      <c r="DA88">
        <f>AL88</f>
        <v>1</v>
      </c>
      <c r="DB88">
        <f>ROUND(((ROUND(AT88*CZ88,2)*1.25)*1.35),2)</f>
        <v>0</v>
      </c>
      <c r="DC88">
        <f>ROUND(((ROUND(AT88*AG88,2)*1.25)*1.35),2)</f>
        <v>0</v>
      </c>
    </row>
    <row r="89" spans="1:107" x14ac:dyDescent="0.2">
      <c r="A89">
        <f>ROW(Source!A86)</f>
        <v>86</v>
      </c>
      <c r="B89">
        <v>224527337</v>
      </c>
      <c r="C89">
        <v>224527986</v>
      </c>
      <c r="D89">
        <v>223058751</v>
      </c>
      <c r="E89">
        <v>1</v>
      </c>
      <c r="F89">
        <v>1</v>
      </c>
      <c r="G89">
        <v>1</v>
      </c>
      <c r="H89">
        <v>2</v>
      </c>
      <c r="I89" t="s">
        <v>624</v>
      </c>
      <c r="J89" t="s">
        <v>625</v>
      </c>
      <c r="K89" t="s">
        <v>626</v>
      </c>
      <c r="L89">
        <v>1367</v>
      </c>
      <c r="N89">
        <v>1011</v>
      </c>
      <c r="O89" t="s">
        <v>612</v>
      </c>
      <c r="P89" t="s">
        <v>612</v>
      </c>
      <c r="Q89">
        <v>1</v>
      </c>
      <c r="W89">
        <v>0</v>
      </c>
      <c r="X89">
        <v>509054691</v>
      </c>
      <c r="Y89">
        <v>1.6875000000000001E-2</v>
      </c>
      <c r="AA89">
        <v>0</v>
      </c>
      <c r="AB89">
        <v>65.709999999999994</v>
      </c>
      <c r="AC89">
        <v>11.6</v>
      </c>
      <c r="AD89">
        <v>0</v>
      </c>
      <c r="AE89">
        <v>0</v>
      </c>
      <c r="AF89">
        <v>65.709999999999994</v>
      </c>
      <c r="AG89">
        <v>11.6</v>
      </c>
      <c r="AH89">
        <v>0</v>
      </c>
      <c r="AI89">
        <v>1</v>
      </c>
      <c r="AJ89">
        <v>1</v>
      </c>
      <c r="AK89">
        <v>1</v>
      </c>
      <c r="AL89">
        <v>1</v>
      </c>
      <c r="AN89">
        <v>0</v>
      </c>
      <c r="AO89">
        <v>1</v>
      </c>
      <c r="AP89">
        <v>1</v>
      </c>
      <c r="AQ89">
        <v>0</v>
      </c>
      <c r="AR89">
        <v>0</v>
      </c>
      <c r="AS89" t="s">
        <v>2</v>
      </c>
      <c r="AT89">
        <v>0.01</v>
      </c>
      <c r="AU89" t="s">
        <v>202</v>
      </c>
      <c r="AV89">
        <v>0</v>
      </c>
      <c r="AW89">
        <v>2</v>
      </c>
      <c r="AX89">
        <v>224527989</v>
      </c>
      <c r="AY89">
        <v>1</v>
      </c>
      <c r="AZ89">
        <v>0</v>
      </c>
      <c r="BA89">
        <v>107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CX89">
        <f>Y89*Source!I86</f>
        <v>3.3750000000000002E-2</v>
      </c>
      <c r="CY89">
        <f>AB89</f>
        <v>65.709999999999994</v>
      </c>
      <c r="CZ89">
        <f>AF89</f>
        <v>65.709999999999994</v>
      </c>
      <c r="DA89">
        <f>AJ89</f>
        <v>1</v>
      </c>
      <c r="DB89">
        <f>ROUND(((ROUND(AT89*CZ89,2)*1.25)*1.35),2)</f>
        <v>1.1100000000000001</v>
      </c>
      <c r="DC89">
        <f>ROUND(((ROUND(AT89*AG89,2)*1.25)*1.35),2)</f>
        <v>0.2</v>
      </c>
    </row>
    <row r="90" spans="1:107" x14ac:dyDescent="0.2">
      <c r="A90">
        <f>ROW(Source!A86)</f>
        <v>86</v>
      </c>
      <c r="B90">
        <v>224527337</v>
      </c>
      <c r="C90">
        <v>224527986</v>
      </c>
      <c r="D90">
        <v>223058963</v>
      </c>
      <c r="E90">
        <v>1</v>
      </c>
      <c r="F90">
        <v>1</v>
      </c>
      <c r="G90">
        <v>1</v>
      </c>
      <c r="H90">
        <v>2</v>
      </c>
      <c r="I90" t="s">
        <v>665</v>
      </c>
      <c r="J90" t="s">
        <v>699</v>
      </c>
      <c r="K90" t="s">
        <v>667</v>
      </c>
      <c r="L90">
        <v>1367</v>
      </c>
      <c r="N90">
        <v>1011</v>
      </c>
      <c r="O90" t="s">
        <v>612</v>
      </c>
      <c r="P90" t="s">
        <v>612</v>
      </c>
      <c r="Q90">
        <v>1</v>
      </c>
      <c r="W90">
        <v>0</v>
      </c>
      <c r="X90">
        <v>829370094</v>
      </c>
      <c r="Y90">
        <v>0.59062500000000007</v>
      </c>
      <c r="AA90">
        <v>0</v>
      </c>
      <c r="AB90">
        <v>8.1</v>
      </c>
      <c r="AC90">
        <v>0</v>
      </c>
      <c r="AD90">
        <v>0</v>
      </c>
      <c r="AE90">
        <v>0</v>
      </c>
      <c r="AF90">
        <v>8.1</v>
      </c>
      <c r="AG90">
        <v>0</v>
      </c>
      <c r="AH90">
        <v>0</v>
      </c>
      <c r="AI90">
        <v>1</v>
      </c>
      <c r="AJ90">
        <v>1</v>
      </c>
      <c r="AK90">
        <v>1</v>
      </c>
      <c r="AL90">
        <v>1</v>
      </c>
      <c r="AN90">
        <v>0</v>
      </c>
      <c r="AO90">
        <v>1</v>
      </c>
      <c r="AP90">
        <v>1</v>
      </c>
      <c r="AQ90">
        <v>0</v>
      </c>
      <c r="AR90">
        <v>0</v>
      </c>
      <c r="AS90" t="s">
        <v>2</v>
      </c>
      <c r="AT90">
        <v>0.35</v>
      </c>
      <c r="AU90" t="s">
        <v>202</v>
      </c>
      <c r="AV90">
        <v>0</v>
      </c>
      <c r="AW90">
        <v>2</v>
      </c>
      <c r="AX90">
        <v>224527990</v>
      </c>
      <c r="AY90">
        <v>1</v>
      </c>
      <c r="AZ90">
        <v>0</v>
      </c>
      <c r="BA90">
        <v>108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CX90">
        <f>Y90*Source!I86</f>
        <v>1.1812500000000001</v>
      </c>
      <c r="CY90">
        <f>AB90</f>
        <v>8.1</v>
      </c>
      <c r="CZ90">
        <f>AF90</f>
        <v>8.1</v>
      </c>
      <c r="DA90">
        <f>AJ90</f>
        <v>1</v>
      </c>
      <c r="DB90">
        <f>ROUND(((ROUND(AT90*CZ90,2)*1.25)*1.35),2)</f>
        <v>4.79</v>
      </c>
      <c r="DC90">
        <f>ROUND(((ROUND(AT90*AG90,2)*1.25)*1.35),2)</f>
        <v>0</v>
      </c>
    </row>
    <row r="91" spans="1:107" x14ac:dyDescent="0.2">
      <c r="A91">
        <f>ROW(Source!A86)</f>
        <v>86</v>
      </c>
      <c r="B91">
        <v>224527337</v>
      </c>
      <c r="C91">
        <v>224527986</v>
      </c>
      <c r="D91">
        <v>222906485</v>
      </c>
      <c r="E91">
        <v>1</v>
      </c>
      <c r="F91">
        <v>1</v>
      </c>
      <c r="G91">
        <v>1</v>
      </c>
      <c r="H91">
        <v>3</v>
      </c>
      <c r="I91" t="s">
        <v>722</v>
      </c>
      <c r="J91" t="s">
        <v>723</v>
      </c>
      <c r="K91" t="s">
        <v>724</v>
      </c>
      <c r="L91">
        <v>1407</v>
      </c>
      <c r="N91">
        <v>74472246</v>
      </c>
      <c r="O91" t="s">
        <v>725</v>
      </c>
      <c r="P91" t="s">
        <v>725</v>
      </c>
      <c r="Q91">
        <v>1</v>
      </c>
      <c r="W91">
        <v>0</v>
      </c>
      <c r="X91">
        <v>845180098</v>
      </c>
      <c r="Y91">
        <v>2E-3</v>
      </c>
      <c r="AA91">
        <v>3450</v>
      </c>
      <c r="AB91">
        <v>0</v>
      </c>
      <c r="AC91">
        <v>0</v>
      </c>
      <c r="AD91">
        <v>0</v>
      </c>
      <c r="AE91">
        <v>3450</v>
      </c>
      <c r="AF91">
        <v>0</v>
      </c>
      <c r="AG91">
        <v>0</v>
      </c>
      <c r="AH91">
        <v>0</v>
      </c>
      <c r="AI91">
        <v>1</v>
      </c>
      <c r="AJ91">
        <v>1</v>
      </c>
      <c r="AK91">
        <v>1</v>
      </c>
      <c r="AL91">
        <v>1</v>
      </c>
      <c r="AN91">
        <v>0</v>
      </c>
      <c r="AO91">
        <v>1</v>
      </c>
      <c r="AP91">
        <v>0</v>
      </c>
      <c r="AQ91">
        <v>0</v>
      </c>
      <c r="AR91">
        <v>0</v>
      </c>
      <c r="AS91" t="s">
        <v>2</v>
      </c>
      <c r="AT91">
        <v>2E-3</v>
      </c>
      <c r="AU91" t="s">
        <v>2</v>
      </c>
      <c r="AV91">
        <v>0</v>
      </c>
      <c r="AW91">
        <v>2</v>
      </c>
      <c r="AX91">
        <v>224527991</v>
      </c>
      <c r="AY91">
        <v>1</v>
      </c>
      <c r="AZ91">
        <v>0</v>
      </c>
      <c r="BA91">
        <v>109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CX91">
        <f>Y91*Source!I86</f>
        <v>4.0000000000000001E-3</v>
      </c>
      <c r="CY91">
        <f>AA91</f>
        <v>3450</v>
      </c>
      <c r="CZ91">
        <f>AE91</f>
        <v>3450</v>
      </c>
      <c r="DA91">
        <f>AI91</f>
        <v>1</v>
      </c>
      <c r="DB91">
        <f>ROUND(ROUND(AT91*CZ91,2),2)</f>
        <v>6.9</v>
      </c>
      <c r="DC91">
        <f>ROUND(ROUND(AT91*AG91,2),2)</f>
        <v>0</v>
      </c>
    </row>
    <row r="92" spans="1:107" x14ac:dyDescent="0.2">
      <c r="A92">
        <f>ROW(Source!A86)</f>
        <v>86</v>
      </c>
      <c r="B92">
        <v>224527337</v>
      </c>
      <c r="C92">
        <v>224527986</v>
      </c>
      <c r="D92">
        <v>222909549</v>
      </c>
      <c r="E92">
        <v>1</v>
      </c>
      <c r="F92">
        <v>1</v>
      </c>
      <c r="G92">
        <v>1</v>
      </c>
      <c r="H92">
        <v>3</v>
      </c>
      <c r="I92" t="s">
        <v>671</v>
      </c>
      <c r="J92" t="s">
        <v>712</v>
      </c>
      <c r="K92" t="s">
        <v>713</v>
      </c>
      <c r="L92">
        <v>1348</v>
      </c>
      <c r="N92">
        <v>1009</v>
      </c>
      <c r="O92" t="s">
        <v>18</v>
      </c>
      <c r="P92" t="s">
        <v>18</v>
      </c>
      <c r="Q92">
        <v>1000</v>
      </c>
      <c r="W92">
        <v>0</v>
      </c>
      <c r="X92">
        <v>1824693337</v>
      </c>
      <c r="Y92">
        <v>1.3999999999999999E-4</v>
      </c>
      <c r="AA92">
        <v>10362</v>
      </c>
      <c r="AB92">
        <v>0</v>
      </c>
      <c r="AC92">
        <v>0</v>
      </c>
      <c r="AD92">
        <v>0</v>
      </c>
      <c r="AE92">
        <v>10362</v>
      </c>
      <c r="AF92">
        <v>0</v>
      </c>
      <c r="AG92">
        <v>0</v>
      </c>
      <c r="AH92">
        <v>0</v>
      </c>
      <c r="AI92">
        <v>1</v>
      </c>
      <c r="AJ92">
        <v>1</v>
      </c>
      <c r="AK92">
        <v>1</v>
      </c>
      <c r="AL92">
        <v>1</v>
      </c>
      <c r="AN92">
        <v>0</v>
      </c>
      <c r="AO92">
        <v>1</v>
      </c>
      <c r="AP92">
        <v>0</v>
      </c>
      <c r="AQ92">
        <v>0</v>
      </c>
      <c r="AR92">
        <v>0</v>
      </c>
      <c r="AS92" t="s">
        <v>2</v>
      </c>
      <c r="AT92">
        <v>1.3999999999999999E-4</v>
      </c>
      <c r="AU92" t="s">
        <v>2</v>
      </c>
      <c r="AV92">
        <v>0</v>
      </c>
      <c r="AW92">
        <v>2</v>
      </c>
      <c r="AX92">
        <v>224527992</v>
      </c>
      <c r="AY92">
        <v>1</v>
      </c>
      <c r="AZ92">
        <v>0</v>
      </c>
      <c r="BA92">
        <v>110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CX92">
        <f>Y92*Source!I86</f>
        <v>2.7999999999999998E-4</v>
      </c>
      <c r="CY92">
        <f>AA92</f>
        <v>10362</v>
      </c>
      <c r="CZ92">
        <f>AE92</f>
        <v>10362</v>
      </c>
      <c r="DA92">
        <f>AI92</f>
        <v>1</v>
      </c>
      <c r="DB92">
        <f>ROUND(ROUND(AT92*CZ92,2),2)</f>
        <v>1.45</v>
      </c>
      <c r="DC92">
        <f>ROUND(ROUND(AT92*AG92,2),2)</f>
        <v>0</v>
      </c>
    </row>
    <row r="93" spans="1:107" x14ac:dyDescent="0.2">
      <c r="A93">
        <f>ROW(Source!A86)</f>
        <v>86</v>
      </c>
      <c r="B93">
        <v>224527337</v>
      </c>
      <c r="C93">
        <v>224527986</v>
      </c>
      <c r="D93">
        <v>222910718</v>
      </c>
      <c r="E93">
        <v>1</v>
      </c>
      <c r="F93">
        <v>1</v>
      </c>
      <c r="G93">
        <v>1</v>
      </c>
      <c r="H93">
        <v>3</v>
      </c>
      <c r="I93" t="s">
        <v>726</v>
      </c>
      <c r="J93" t="s">
        <v>727</v>
      </c>
      <c r="K93" t="s">
        <v>728</v>
      </c>
      <c r="L93">
        <v>1348</v>
      </c>
      <c r="N93">
        <v>1009</v>
      </c>
      <c r="O93" t="s">
        <v>18</v>
      </c>
      <c r="P93" t="s">
        <v>18</v>
      </c>
      <c r="Q93">
        <v>1000</v>
      </c>
      <c r="W93">
        <v>0</v>
      </c>
      <c r="X93">
        <v>-614132284</v>
      </c>
      <c r="Y93">
        <v>1.1000000000000001E-3</v>
      </c>
      <c r="AA93">
        <v>15323</v>
      </c>
      <c r="AB93">
        <v>0</v>
      </c>
      <c r="AC93">
        <v>0</v>
      </c>
      <c r="AD93">
        <v>0</v>
      </c>
      <c r="AE93">
        <v>15323</v>
      </c>
      <c r="AF93">
        <v>0</v>
      </c>
      <c r="AG93">
        <v>0</v>
      </c>
      <c r="AH93">
        <v>0</v>
      </c>
      <c r="AI93">
        <v>1</v>
      </c>
      <c r="AJ93">
        <v>1</v>
      </c>
      <c r="AK93">
        <v>1</v>
      </c>
      <c r="AL93">
        <v>1</v>
      </c>
      <c r="AN93">
        <v>0</v>
      </c>
      <c r="AO93">
        <v>1</v>
      </c>
      <c r="AP93">
        <v>0</v>
      </c>
      <c r="AQ93">
        <v>0</v>
      </c>
      <c r="AR93">
        <v>0</v>
      </c>
      <c r="AS93" t="s">
        <v>2</v>
      </c>
      <c r="AT93">
        <v>1.1000000000000001E-3</v>
      </c>
      <c r="AU93" t="s">
        <v>2</v>
      </c>
      <c r="AV93">
        <v>0</v>
      </c>
      <c r="AW93">
        <v>2</v>
      </c>
      <c r="AX93">
        <v>224527993</v>
      </c>
      <c r="AY93">
        <v>1</v>
      </c>
      <c r="AZ93">
        <v>0</v>
      </c>
      <c r="BA93">
        <v>111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CX93">
        <f>Y93*Source!I86</f>
        <v>2.2000000000000001E-3</v>
      </c>
      <c r="CY93">
        <f>AA93</f>
        <v>15323</v>
      </c>
      <c r="CZ93">
        <f>AE93</f>
        <v>15323</v>
      </c>
      <c r="DA93">
        <f>AI93</f>
        <v>1</v>
      </c>
      <c r="DB93">
        <f>ROUND(ROUND(AT93*CZ93,2),2)</f>
        <v>16.86</v>
      </c>
      <c r="DC93">
        <f>ROUND(ROUND(AT93*AG93,2),2)</f>
        <v>0</v>
      </c>
    </row>
    <row r="94" spans="1:107" x14ac:dyDescent="0.2">
      <c r="A94">
        <f>ROW(Source!A123)</f>
        <v>123</v>
      </c>
      <c r="B94">
        <v>224527337</v>
      </c>
      <c r="C94">
        <v>224528089</v>
      </c>
      <c r="D94">
        <v>222895963</v>
      </c>
      <c r="E94">
        <v>70</v>
      </c>
      <c r="F94">
        <v>1</v>
      </c>
      <c r="G94">
        <v>1</v>
      </c>
      <c r="H94">
        <v>1</v>
      </c>
      <c r="I94" t="s">
        <v>647</v>
      </c>
      <c r="J94" t="s">
        <v>2</v>
      </c>
      <c r="K94" t="s">
        <v>648</v>
      </c>
      <c r="L94">
        <v>1191</v>
      </c>
      <c r="N94">
        <v>74472246</v>
      </c>
      <c r="O94" t="s">
        <v>600</v>
      </c>
      <c r="P94" t="s">
        <v>600</v>
      </c>
      <c r="Q94">
        <v>1</v>
      </c>
      <c r="W94">
        <v>0</v>
      </c>
      <c r="X94">
        <v>1049124552</v>
      </c>
      <c r="Y94">
        <v>5.246999999999999</v>
      </c>
      <c r="AA94">
        <v>0</v>
      </c>
      <c r="AB94">
        <v>0</v>
      </c>
      <c r="AC94">
        <v>0</v>
      </c>
      <c r="AD94">
        <v>8.5299999999999994</v>
      </c>
      <c r="AE94">
        <v>0</v>
      </c>
      <c r="AF94">
        <v>0</v>
      </c>
      <c r="AG94">
        <v>0</v>
      </c>
      <c r="AH94">
        <v>8.5299999999999994</v>
      </c>
      <c r="AI94">
        <v>1</v>
      </c>
      <c r="AJ94">
        <v>1</v>
      </c>
      <c r="AK94">
        <v>1</v>
      </c>
      <c r="AL94">
        <v>1</v>
      </c>
      <c r="AN94">
        <v>0</v>
      </c>
      <c r="AO94">
        <v>1</v>
      </c>
      <c r="AP94">
        <v>1</v>
      </c>
      <c r="AQ94">
        <v>0</v>
      </c>
      <c r="AR94">
        <v>0</v>
      </c>
      <c r="AS94" t="s">
        <v>2</v>
      </c>
      <c r="AT94">
        <v>17.489999999999998</v>
      </c>
      <c r="AU94" t="s">
        <v>218</v>
      </c>
      <c r="AV94">
        <v>1</v>
      </c>
      <c r="AW94">
        <v>2</v>
      </c>
      <c r="AX94">
        <v>224528093</v>
      </c>
      <c r="AY94">
        <v>1</v>
      </c>
      <c r="AZ94">
        <v>0</v>
      </c>
      <c r="BA94">
        <v>114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CX94">
        <f>Y94*Source!I123</f>
        <v>12.592799999999997</v>
      </c>
      <c r="CY94">
        <f>AD94</f>
        <v>8.5299999999999994</v>
      </c>
      <c r="CZ94">
        <f>AH94</f>
        <v>8.5299999999999994</v>
      </c>
      <c r="DA94">
        <f>AL94</f>
        <v>1</v>
      </c>
      <c r="DB94">
        <f>ROUND((ROUND(AT94*CZ94,2)*0.3),2)</f>
        <v>44.76</v>
      </c>
      <c r="DC94">
        <f>ROUND((ROUND(AT94*AG94,2)*0.3),2)</f>
        <v>0</v>
      </c>
    </row>
    <row r="95" spans="1:107" x14ac:dyDescent="0.2">
      <c r="A95">
        <f>ROW(Source!A123)</f>
        <v>123</v>
      </c>
      <c r="B95">
        <v>224527337</v>
      </c>
      <c r="C95">
        <v>224528089</v>
      </c>
      <c r="D95">
        <v>223058982</v>
      </c>
      <c r="E95">
        <v>1</v>
      </c>
      <c r="F95">
        <v>1</v>
      </c>
      <c r="G95">
        <v>1</v>
      </c>
      <c r="H95">
        <v>2</v>
      </c>
      <c r="I95" t="s">
        <v>729</v>
      </c>
      <c r="J95" t="s">
        <v>730</v>
      </c>
      <c r="K95" t="s">
        <v>731</v>
      </c>
      <c r="L95">
        <v>1367</v>
      </c>
      <c r="N95">
        <v>1011</v>
      </c>
      <c r="O95" t="s">
        <v>612</v>
      </c>
      <c r="P95" t="s">
        <v>612</v>
      </c>
      <c r="Q95">
        <v>1</v>
      </c>
      <c r="W95">
        <v>0</v>
      </c>
      <c r="X95">
        <v>-727905792</v>
      </c>
      <c r="Y95">
        <v>2.4449999999999998</v>
      </c>
      <c r="AA95">
        <v>0</v>
      </c>
      <c r="AB95">
        <v>32.5</v>
      </c>
      <c r="AC95">
        <v>0</v>
      </c>
      <c r="AD95">
        <v>0</v>
      </c>
      <c r="AE95">
        <v>0</v>
      </c>
      <c r="AF95">
        <v>32.5</v>
      </c>
      <c r="AG95">
        <v>0</v>
      </c>
      <c r="AH95">
        <v>0</v>
      </c>
      <c r="AI95">
        <v>1</v>
      </c>
      <c r="AJ95">
        <v>1</v>
      </c>
      <c r="AK95">
        <v>1</v>
      </c>
      <c r="AL95">
        <v>1</v>
      </c>
      <c r="AN95">
        <v>0</v>
      </c>
      <c r="AO95">
        <v>1</v>
      </c>
      <c r="AP95">
        <v>1</v>
      </c>
      <c r="AQ95">
        <v>0</v>
      </c>
      <c r="AR95">
        <v>0</v>
      </c>
      <c r="AS95" t="s">
        <v>2</v>
      </c>
      <c r="AT95">
        <v>8.15</v>
      </c>
      <c r="AU95" t="s">
        <v>218</v>
      </c>
      <c r="AV95">
        <v>0</v>
      </c>
      <c r="AW95">
        <v>2</v>
      </c>
      <c r="AX95">
        <v>224528094</v>
      </c>
      <c r="AY95">
        <v>1</v>
      </c>
      <c r="AZ95">
        <v>0</v>
      </c>
      <c r="BA95">
        <v>115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CX95">
        <f>Y95*Source!I123</f>
        <v>5.8679999999999994</v>
      </c>
      <c r="CY95">
        <f>AB95</f>
        <v>32.5</v>
      </c>
      <c r="CZ95">
        <f>AF95</f>
        <v>32.5</v>
      </c>
      <c r="DA95">
        <f>AJ95</f>
        <v>1</v>
      </c>
      <c r="DB95">
        <f>ROUND((ROUND(AT95*CZ95,2)*0.3),2)</f>
        <v>79.459999999999994</v>
      </c>
      <c r="DC95">
        <f>ROUND((ROUND(AT95*AG95,2)*0.3),2)</f>
        <v>0</v>
      </c>
    </row>
    <row r="96" spans="1:107" x14ac:dyDescent="0.2">
      <c r="A96">
        <f>ROW(Source!A123)</f>
        <v>123</v>
      </c>
      <c r="B96">
        <v>224527337</v>
      </c>
      <c r="C96">
        <v>224528089</v>
      </c>
      <c r="D96">
        <v>223059439</v>
      </c>
      <c r="E96">
        <v>1</v>
      </c>
      <c r="F96">
        <v>1</v>
      </c>
      <c r="G96">
        <v>1</v>
      </c>
      <c r="H96">
        <v>2</v>
      </c>
      <c r="I96" t="s">
        <v>732</v>
      </c>
      <c r="J96" t="s">
        <v>733</v>
      </c>
      <c r="K96" t="s">
        <v>734</v>
      </c>
      <c r="L96">
        <v>1367</v>
      </c>
      <c r="N96">
        <v>1011</v>
      </c>
      <c r="O96" t="s">
        <v>612</v>
      </c>
      <c r="P96" t="s">
        <v>612</v>
      </c>
      <c r="Q96">
        <v>1</v>
      </c>
      <c r="W96">
        <v>0</v>
      </c>
      <c r="X96">
        <v>1998121820</v>
      </c>
      <c r="Y96">
        <v>4.8899999999999997</v>
      </c>
      <c r="AA96">
        <v>0</v>
      </c>
      <c r="AB96">
        <v>1.53</v>
      </c>
      <c r="AC96">
        <v>0</v>
      </c>
      <c r="AD96">
        <v>0</v>
      </c>
      <c r="AE96">
        <v>0</v>
      </c>
      <c r="AF96">
        <v>1.53</v>
      </c>
      <c r="AG96">
        <v>0</v>
      </c>
      <c r="AH96">
        <v>0</v>
      </c>
      <c r="AI96">
        <v>1</v>
      </c>
      <c r="AJ96">
        <v>1</v>
      </c>
      <c r="AK96">
        <v>1</v>
      </c>
      <c r="AL96">
        <v>1</v>
      </c>
      <c r="AN96">
        <v>0</v>
      </c>
      <c r="AO96">
        <v>1</v>
      </c>
      <c r="AP96">
        <v>1</v>
      </c>
      <c r="AQ96">
        <v>0</v>
      </c>
      <c r="AR96">
        <v>0</v>
      </c>
      <c r="AS96" t="s">
        <v>2</v>
      </c>
      <c r="AT96">
        <v>16.3</v>
      </c>
      <c r="AU96" t="s">
        <v>218</v>
      </c>
      <c r="AV96">
        <v>0</v>
      </c>
      <c r="AW96">
        <v>2</v>
      </c>
      <c r="AX96">
        <v>224528095</v>
      </c>
      <c r="AY96">
        <v>1</v>
      </c>
      <c r="AZ96">
        <v>0</v>
      </c>
      <c r="BA96">
        <v>116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CX96">
        <f>Y96*Source!I123</f>
        <v>11.735999999999999</v>
      </c>
      <c r="CY96">
        <f>AB96</f>
        <v>1.53</v>
      </c>
      <c r="CZ96">
        <f>AF96</f>
        <v>1.53</v>
      </c>
      <c r="DA96">
        <f>AJ96</f>
        <v>1</v>
      </c>
      <c r="DB96">
        <f>ROUND((ROUND(AT96*CZ96,2)*0.3),2)</f>
        <v>7.48</v>
      </c>
      <c r="DC96">
        <f>ROUND((ROUND(AT96*AG96,2)*0.3),2)</f>
        <v>0</v>
      </c>
    </row>
    <row r="97" spans="1:107" x14ac:dyDescent="0.2">
      <c r="A97">
        <f>ROW(Source!A124)</f>
        <v>124</v>
      </c>
      <c r="B97">
        <v>224527337</v>
      </c>
      <c r="C97">
        <v>224528096</v>
      </c>
      <c r="D97">
        <v>222895997</v>
      </c>
      <c r="E97">
        <v>70</v>
      </c>
      <c r="F97">
        <v>1</v>
      </c>
      <c r="G97">
        <v>1</v>
      </c>
      <c r="H97">
        <v>1</v>
      </c>
      <c r="I97" t="s">
        <v>735</v>
      </c>
      <c r="J97" t="s">
        <v>2</v>
      </c>
      <c r="K97" t="s">
        <v>736</v>
      </c>
      <c r="L97">
        <v>1191</v>
      </c>
      <c r="N97">
        <v>74472246</v>
      </c>
      <c r="O97" t="s">
        <v>600</v>
      </c>
      <c r="P97" t="s">
        <v>600</v>
      </c>
      <c r="Q97">
        <v>1</v>
      </c>
      <c r="W97">
        <v>0</v>
      </c>
      <c r="X97">
        <v>-2012709214</v>
      </c>
      <c r="Y97">
        <v>92.775099999999995</v>
      </c>
      <c r="AA97">
        <v>0</v>
      </c>
      <c r="AB97">
        <v>0</v>
      </c>
      <c r="AC97">
        <v>0</v>
      </c>
      <c r="AD97">
        <v>9.4</v>
      </c>
      <c r="AE97">
        <v>0</v>
      </c>
      <c r="AF97">
        <v>0</v>
      </c>
      <c r="AG97">
        <v>0</v>
      </c>
      <c r="AH97">
        <v>9.4</v>
      </c>
      <c r="AI97">
        <v>1</v>
      </c>
      <c r="AJ97">
        <v>1</v>
      </c>
      <c r="AK97">
        <v>1</v>
      </c>
      <c r="AL97">
        <v>1</v>
      </c>
      <c r="AN97">
        <v>0</v>
      </c>
      <c r="AO97">
        <v>1</v>
      </c>
      <c r="AP97">
        <v>1</v>
      </c>
      <c r="AQ97">
        <v>0</v>
      </c>
      <c r="AR97">
        <v>0</v>
      </c>
      <c r="AS97" t="s">
        <v>2</v>
      </c>
      <c r="AT97">
        <v>73.34</v>
      </c>
      <c r="AU97" t="s">
        <v>225</v>
      </c>
      <c r="AV97">
        <v>1</v>
      </c>
      <c r="AW97">
        <v>2</v>
      </c>
      <c r="AX97">
        <v>224528097</v>
      </c>
      <c r="AY97">
        <v>1</v>
      </c>
      <c r="AZ97">
        <v>0</v>
      </c>
      <c r="BA97">
        <v>117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CX97">
        <f>Y97*Source!I124</f>
        <v>2.3193774999999999</v>
      </c>
      <c r="CY97">
        <f>AD97</f>
        <v>9.4</v>
      </c>
      <c r="CZ97">
        <f>AH97</f>
        <v>9.4</v>
      </c>
      <c r="DA97">
        <f>AL97</f>
        <v>1</v>
      </c>
      <c r="DB97">
        <f>ROUND(((ROUND(AT97*CZ97,2)*1.15)*1.1),2)</f>
        <v>872.09</v>
      </c>
      <c r="DC97">
        <f>ROUND(((ROUND(AT97*AG97,2)*1.15)*1.1),2)</f>
        <v>0</v>
      </c>
    </row>
    <row r="98" spans="1:107" x14ac:dyDescent="0.2">
      <c r="A98">
        <f>ROW(Source!A124)</f>
        <v>124</v>
      </c>
      <c r="B98">
        <v>224527337</v>
      </c>
      <c r="C98">
        <v>224528096</v>
      </c>
      <c r="D98">
        <v>223058986</v>
      </c>
      <c r="E98">
        <v>1</v>
      </c>
      <c r="F98">
        <v>1</v>
      </c>
      <c r="G98">
        <v>1</v>
      </c>
      <c r="H98">
        <v>2</v>
      </c>
      <c r="I98" t="s">
        <v>737</v>
      </c>
      <c r="J98" t="s">
        <v>738</v>
      </c>
      <c r="K98" t="s">
        <v>739</v>
      </c>
      <c r="L98">
        <v>1367</v>
      </c>
      <c r="N98">
        <v>1011</v>
      </c>
      <c r="O98" t="s">
        <v>612</v>
      </c>
      <c r="P98" t="s">
        <v>612</v>
      </c>
      <c r="Q98">
        <v>1</v>
      </c>
      <c r="W98">
        <v>0</v>
      </c>
      <c r="X98">
        <v>-1506375854</v>
      </c>
      <c r="Y98">
        <v>29.741250000000001</v>
      </c>
      <c r="AA98">
        <v>0</v>
      </c>
      <c r="AB98">
        <v>48.81</v>
      </c>
      <c r="AC98">
        <v>0</v>
      </c>
      <c r="AD98">
        <v>0</v>
      </c>
      <c r="AE98">
        <v>0</v>
      </c>
      <c r="AF98">
        <v>48.81</v>
      </c>
      <c r="AG98">
        <v>0</v>
      </c>
      <c r="AH98">
        <v>0</v>
      </c>
      <c r="AI98">
        <v>1</v>
      </c>
      <c r="AJ98">
        <v>1</v>
      </c>
      <c r="AK98">
        <v>1</v>
      </c>
      <c r="AL98">
        <v>1</v>
      </c>
      <c r="AN98">
        <v>0</v>
      </c>
      <c r="AO98">
        <v>1</v>
      </c>
      <c r="AP98">
        <v>1</v>
      </c>
      <c r="AQ98">
        <v>0</v>
      </c>
      <c r="AR98">
        <v>0</v>
      </c>
      <c r="AS98" t="s">
        <v>2</v>
      </c>
      <c r="AT98">
        <v>21.63</v>
      </c>
      <c r="AU98" t="s">
        <v>224</v>
      </c>
      <c r="AV98">
        <v>0</v>
      </c>
      <c r="AW98">
        <v>2</v>
      </c>
      <c r="AX98">
        <v>224528098</v>
      </c>
      <c r="AY98">
        <v>1</v>
      </c>
      <c r="AZ98">
        <v>0</v>
      </c>
      <c r="BA98">
        <v>118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CX98">
        <f>Y98*Source!I124</f>
        <v>0.74353125000000009</v>
      </c>
      <c r="CY98">
        <f>AB98</f>
        <v>48.81</v>
      </c>
      <c r="CZ98">
        <f>AF98</f>
        <v>48.81</v>
      </c>
      <c r="DA98">
        <f>AJ98</f>
        <v>1</v>
      </c>
      <c r="DB98">
        <f>ROUND(((ROUND(AT98*CZ98,2)*1.25)*1.1),2)</f>
        <v>1451.67</v>
      </c>
      <c r="DC98">
        <f>ROUND(((ROUND(AT98*AG98,2)*1.25)*1.1),2)</f>
        <v>0</v>
      </c>
    </row>
    <row r="99" spans="1:107" x14ac:dyDescent="0.2">
      <c r="A99">
        <f>ROW(Source!A124)</f>
        <v>124</v>
      </c>
      <c r="B99">
        <v>224527337</v>
      </c>
      <c r="C99">
        <v>224528096</v>
      </c>
      <c r="D99">
        <v>223059439</v>
      </c>
      <c r="E99">
        <v>1</v>
      </c>
      <c r="F99">
        <v>1</v>
      </c>
      <c r="G99">
        <v>1</v>
      </c>
      <c r="H99">
        <v>2</v>
      </c>
      <c r="I99" t="s">
        <v>732</v>
      </c>
      <c r="J99" t="s">
        <v>733</v>
      </c>
      <c r="K99" t="s">
        <v>734</v>
      </c>
      <c r="L99">
        <v>1367</v>
      </c>
      <c r="N99">
        <v>1011</v>
      </c>
      <c r="O99" t="s">
        <v>612</v>
      </c>
      <c r="P99" t="s">
        <v>612</v>
      </c>
      <c r="Q99">
        <v>1</v>
      </c>
      <c r="W99">
        <v>0</v>
      </c>
      <c r="X99">
        <v>1998121820</v>
      </c>
      <c r="Y99">
        <v>59.482500000000002</v>
      </c>
      <c r="AA99">
        <v>0</v>
      </c>
      <c r="AB99">
        <v>1.53</v>
      </c>
      <c r="AC99">
        <v>0</v>
      </c>
      <c r="AD99">
        <v>0</v>
      </c>
      <c r="AE99">
        <v>0</v>
      </c>
      <c r="AF99">
        <v>1.53</v>
      </c>
      <c r="AG99">
        <v>0</v>
      </c>
      <c r="AH99">
        <v>0</v>
      </c>
      <c r="AI99">
        <v>1</v>
      </c>
      <c r="AJ99">
        <v>1</v>
      </c>
      <c r="AK99">
        <v>1</v>
      </c>
      <c r="AL99">
        <v>1</v>
      </c>
      <c r="AN99">
        <v>0</v>
      </c>
      <c r="AO99">
        <v>1</v>
      </c>
      <c r="AP99">
        <v>1</v>
      </c>
      <c r="AQ99">
        <v>0</v>
      </c>
      <c r="AR99">
        <v>0</v>
      </c>
      <c r="AS99" t="s">
        <v>2</v>
      </c>
      <c r="AT99">
        <v>43.26</v>
      </c>
      <c r="AU99" t="s">
        <v>224</v>
      </c>
      <c r="AV99">
        <v>0</v>
      </c>
      <c r="AW99">
        <v>2</v>
      </c>
      <c r="AX99">
        <v>224528099</v>
      </c>
      <c r="AY99">
        <v>1</v>
      </c>
      <c r="AZ99">
        <v>0</v>
      </c>
      <c r="BA99">
        <v>119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CX99">
        <f>Y99*Source!I124</f>
        <v>1.4870625000000002</v>
      </c>
      <c r="CY99">
        <f>AB99</f>
        <v>1.53</v>
      </c>
      <c r="CZ99">
        <f>AF99</f>
        <v>1.53</v>
      </c>
      <c r="DA99">
        <f>AJ99</f>
        <v>1</v>
      </c>
      <c r="DB99">
        <f>ROUND(((ROUND(AT99*CZ99,2)*1.25)*1.1),2)</f>
        <v>91.01</v>
      </c>
      <c r="DC99">
        <f>ROUND(((ROUND(AT99*AG99,2)*1.25)*1.1),2)</f>
        <v>0</v>
      </c>
    </row>
    <row r="100" spans="1:107" x14ac:dyDescent="0.2">
      <c r="A100">
        <f>ROW(Source!A125)</f>
        <v>125</v>
      </c>
      <c r="B100">
        <v>224527337</v>
      </c>
      <c r="C100">
        <v>224528108</v>
      </c>
      <c r="D100">
        <v>222896001</v>
      </c>
      <c r="E100">
        <v>70</v>
      </c>
      <c r="F100">
        <v>1</v>
      </c>
      <c r="G100">
        <v>1</v>
      </c>
      <c r="H100">
        <v>1</v>
      </c>
      <c r="I100" t="s">
        <v>740</v>
      </c>
      <c r="J100" t="s">
        <v>2</v>
      </c>
      <c r="K100" t="s">
        <v>741</v>
      </c>
      <c r="L100">
        <v>1191</v>
      </c>
      <c r="N100">
        <v>74472246</v>
      </c>
      <c r="O100" t="s">
        <v>600</v>
      </c>
      <c r="P100" t="s">
        <v>600</v>
      </c>
      <c r="Q100">
        <v>1</v>
      </c>
      <c r="W100">
        <v>0</v>
      </c>
      <c r="X100">
        <v>1608048003</v>
      </c>
      <c r="Y100">
        <v>21.177</v>
      </c>
      <c r="AA100">
        <v>0</v>
      </c>
      <c r="AB100">
        <v>0</v>
      </c>
      <c r="AC100">
        <v>0</v>
      </c>
      <c r="AD100">
        <v>9.51</v>
      </c>
      <c r="AE100">
        <v>0</v>
      </c>
      <c r="AF100">
        <v>0</v>
      </c>
      <c r="AG100">
        <v>0</v>
      </c>
      <c r="AH100">
        <v>9.51</v>
      </c>
      <c r="AI100">
        <v>1</v>
      </c>
      <c r="AJ100">
        <v>1</v>
      </c>
      <c r="AK100">
        <v>1</v>
      </c>
      <c r="AL100">
        <v>1</v>
      </c>
      <c r="AN100">
        <v>0</v>
      </c>
      <c r="AO100">
        <v>1</v>
      </c>
      <c r="AP100">
        <v>1</v>
      </c>
      <c r="AQ100">
        <v>0</v>
      </c>
      <c r="AR100">
        <v>0</v>
      </c>
      <c r="AS100" t="s">
        <v>2</v>
      </c>
      <c r="AT100">
        <v>16.29</v>
      </c>
      <c r="AU100" t="s">
        <v>234</v>
      </c>
      <c r="AV100">
        <v>1</v>
      </c>
      <c r="AW100">
        <v>2</v>
      </c>
      <c r="AX100">
        <v>224528109</v>
      </c>
      <c r="AY100">
        <v>1</v>
      </c>
      <c r="AZ100">
        <v>0</v>
      </c>
      <c r="BA100">
        <v>120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CX100">
        <f>Y100*Source!I125</f>
        <v>4.8707099999999999</v>
      </c>
      <c r="CY100">
        <f>AD100</f>
        <v>9.51</v>
      </c>
      <c r="CZ100">
        <f>AH100</f>
        <v>9.51</v>
      </c>
      <c r="DA100">
        <f>AL100</f>
        <v>1</v>
      </c>
      <c r="DB100">
        <f>ROUND((ROUND(AT100*CZ100,2)*1.3),2)</f>
        <v>201.4</v>
      </c>
      <c r="DC100">
        <f>ROUND((ROUND(AT100*AG100,2)*1.3),2)</f>
        <v>0</v>
      </c>
    </row>
    <row r="101" spans="1:107" x14ac:dyDescent="0.2">
      <c r="A101">
        <f>ROW(Source!A125)</f>
        <v>125</v>
      </c>
      <c r="B101">
        <v>224527337</v>
      </c>
      <c r="C101">
        <v>224528108</v>
      </c>
      <c r="D101">
        <v>222896153</v>
      </c>
      <c r="E101">
        <v>70</v>
      </c>
      <c r="F101">
        <v>1</v>
      </c>
      <c r="G101">
        <v>1</v>
      </c>
      <c r="H101">
        <v>1</v>
      </c>
      <c r="I101" t="s">
        <v>607</v>
      </c>
      <c r="J101" t="s">
        <v>2</v>
      </c>
      <c r="K101" t="s">
        <v>608</v>
      </c>
      <c r="L101">
        <v>1191</v>
      </c>
      <c r="N101">
        <v>74472246</v>
      </c>
      <c r="O101" t="s">
        <v>600</v>
      </c>
      <c r="P101" t="s">
        <v>600</v>
      </c>
      <c r="Q101">
        <v>1</v>
      </c>
      <c r="W101">
        <v>0</v>
      </c>
      <c r="X101">
        <v>-1417349443</v>
      </c>
      <c r="Y101">
        <v>1.3000000000000001E-2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1</v>
      </c>
      <c r="AJ101">
        <v>1</v>
      </c>
      <c r="AK101">
        <v>1</v>
      </c>
      <c r="AL101">
        <v>1</v>
      </c>
      <c r="AN101">
        <v>0</v>
      </c>
      <c r="AO101">
        <v>1</v>
      </c>
      <c r="AP101">
        <v>1</v>
      </c>
      <c r="AQ101">
        <v>0</v>
      </c>
      <c r="AR101">
        <v>0</v>
      </c>
      <c r="AS101" t="s">
        <v>2</v>
      </c>
      <c r="AT101">
        <v>0.01</v>
      </c>
      <c r="AU101" t="s">
        <v>234</v>
      </c>
      <c r="AV101">
        <v>2</v>
      </c>
      <c r="AW101">
        <v>2</v>
      </c>
      <c r="AX101">
        <v>224528110</v>
      </c>
      <c r="AY101">
        <v>1</v>
      </c>
      <c r="AZ101">
        <v>0</v>
      </c>
      <c r="BA101">
        <v>121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CX101">
        <f>Y101*Source!I125</f>
        <v>2.9900000000000005E-3</v>
      </c>
      <c r="CY101">
        <f>AD101</f>
        <v>0</v>
      </c>
      <c r="CZ101">
        <f>AH101</f>
        <v>0</v>
      </c>
      <c r="DA101">
        <f>AL101</f>
        <v>1</v>
      </c>
      <c r="DB101">
        <f>ROUND((ROUND(AT101*CZ101,2)*1.3),2)</f>
        <v>0</v>
      </c>
      <c r="DC101">
        <f>ROUND((ROUND(AT101*AG101,2)*1.3),2)</f>
        <v>0</v>
      </c>
    </row>
    <row r="102" spans="1:107" x14ac:dyDescent="0.2">
      <c r="A102">
        <f>ROW(Source!A125)</f>
        <v>125</v>
      </c>
      <c r="B102">
        <v>224527337</v>
      </c>
      <c r="C102">
        <v>224528108</v>
      </c>
      <c r="D102">
        <v>223058015</v>
      </c>
      <c r="E102">
        <v>1</v>
      </c>
      <c r="F102">
        <v>1</v>
      </c>
      <c r="G102">
        <v>1</v>
      </c>
      <c r="H102">
        <v>2</v>
      </c>
      <c r="I102" t="s">
        <v>613</v>
      </c>
      <c r="J102" t="s">
        <v>614</v>
      </c>
      <c r="K102" t="s">
        <v>615</v>
      </c>
      <c r="L102">
        <v>1367</v>
      </c>
      <c r="N102">
        <v>1011</v>
      </c>
      <c r="O102" t="s">
        <v>612</v>
      </c>
      <c r="P102" t="s">
        <v>612</v>
      </c>
      <c r="Q102">
        <v>1</v>
      </c>
      <c r="W102">
        <v>0</v>
      </c>
      <c r="X102">
        <v>1232162608</v>
      </c>
      <c r="Y102">
        <v>1.3000000000000001E-2</v>
      </c>
      <c r="AA102">
        <v>0</v>
      </c>
      <c r="AB102">
        <v>31.26</v>
      </c>
      <c r="AC102">
        <v>13.5</v>
      </c>
      <c r="AD102">
        <v>0</v>
      </c>
      <c r="AE102">
        <v>0</v>
      </c>
      <c r="AF102">
        <v>31.26</v>
      </c>
      <c r="AG102">
        <v>13.5</v>
      </c>
      <c r="AH102">
        <v>0</v>
      </c>
      <c r="AI102">
        <v>1</v>
      </c>
      <c r="AJ102">
        <v>1</v>
      </c>
      <c r="AK102">
        <v>1</v>
      </c>
      <c r="AL102">
        <v>1</v>
      </c>
      <c r="AN102">
        <v>0</v>
      </c>
      <c r="AO102">
        <v>1</v>
      </c>
      <c r="AP102">
        <v>1</v>
      </c>
      <c r="AQ102">
        <v>0</v>
      </c>
      <c r="AR102">
        <v>0</v>
      </c>
      <c r="AS102" t="s">
        <v>2</v>
      </c>
      <c r="AT102">
        <v>0.01</v>
      </c>
      <c r="AU102" t="s">
        <v>234</v>
      </c>
      <c r="AV102">
        <v>0</v>
      </c>
      <c r="AW102">
        <v>2</v>
      </c>
      <c r="AX102">
        <v>224528111</v>
      </c>
      <c r="AY102">
        <v>1</v>
      </c>
      <c r="AZ102">
        <v>0</v>
      </c>
      <c r="BA102">
        <v>122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CX102">
        <f>Y102*Source!I125</f>
        <v>2.9900000000000005E-3</v>
      </c>
      <c r="CY102">
        <f>AB102</f>
        <v>31.26</v>
      </c>
      <c r="CZ102">
        <f>AF102</f>
        <v>31.26</v>
      </c>
      <c r="DA102">
        <f>AJ102</f>
        <v>1</v>
      </c>
      <c r="DB102">
        <f>ROUND((ROUND(AT102*CZ102,2)*1.3),2)</f>
        <v>0.4</v>
      </c>
      <c r="DC102">
        <f>ROUND((ROUND(AT102*AG102,2)*1.3),2)</f>
        <v>0.18</v>
      </c>
    </row>
    <row r="103" spans="1:107" x14ac:dyDescent="0.2">
      <c r="A103">
        <f>ROW(Source!A125)</f>
        <v>125</v>
      </c>
      <c r="B103">
        <v>224527337</v>
      </c>
      <c r="C103">
        <v>224528108</v>
      </c>
      <c r="D103">
        <v>222910870</v>
      </c>
      <c r="E103">
        <v>1</v>
      </c>
      <c r="F103">
        <v>1</v>
      </c>
      <c r="G103">
        <v>1</v>
      </c>
      <c r="H103">
        <v>3</v>
      </c>
      <c r="I103" t="s">
        <v>742</v>
      </c>
      <c r="J103" t="s">
        <v>743</v>
      </c>
      <c r="K103" t="s">
        <v>744</v>
      </c>
      <c r="L103">
        <v>1407</v>
      </c>
      <c r="N103">
        <v>74472246</v>
      </c>
      <c r="O103" t="s">
        <v>725</v>
      </c>
      <c r="P103" t="s">
        <v>725</v>
      </c>
      <c r="Q103">
        <v>1</v>
      </c>
      <c r="W103">
        <v>0</v>
      </c>
      <c r="X103">
        <v>194284803</v>
      </c>
      <c r="Y103">
        <v>0.2</v>
      </c>
      <c r="AA103">
        <v>180</v>
      </c>
      <c r="AB103">
        <v>0</v>
      </c>
      <c r="AC103">
        <v>0</v>
      </c>
      <c r="AD103">
        <v>0</v>
      </c>
      <c r="AE103">
        <v>180</v>
      </c>
      <c r="AF103">
        <v>0</v>
      </c>
      <c r="AG103">
        <v>0</v>
      </c>
      <c r="AH103">
        <v>0</v>
      </c>
      <c r="AI103">
        <v>1</v>
      </c>
      <c r="AJ103">
        <v>1</v>
      </c>
      <c r="AK103">
        <v>1</v>
      </c>
      <c r="AL103">
        <v>1</v>
      </c>
      <c r="AN103">
        <v>0</v>
      </c>
      <c r="AO103">
        <v>1</v>
      </c>
      <c r="AP103">
        <v>0</v>
      </c>
      <c r="AQ103">
        <v>0</v>
      </c>
      <c r="AR103">
        <v>0</v>
      </c>
      <c r="AS103" t="s">
        <v>2</v>
      </c>
      <c r="AT103">
        <v>0.2</v>
      </c>
      <c r="AU103" t="s">
        <v>2</v>
      </c>
      <c r="AV103">
        <v>0</v>
      </c>
      <c r="AW103">
        <v>2</v>
      </c>
      <c r="AX103">
        <v>224528112</v>
      </c>
      <c r="AY103">
        <v>1</v>
      </c>
      <c r="AZ103">
        <v>0</v>
      </c>
      <c r="BA103">
        <v>123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CX103">
        <f>Y103*Source!I125</f>
        <v>4.6000000000000006E-2</v>
      </c>
      <c r="CY103">
        <f>AA103</f>
        <v>180</v>
      </c>
      <c r="CZ103">
        <f>AE103</f>
        <v>180</v>
      </c>
      <c r="DA103">
        <f>AI103</f>
        <v>1</v>
      </c>
      <c r="DB103">
        <f>ROUND(ROUND(AT103*CZ103,2),2)</f>
        <v>36</v>
      </c>
      <c r="DC103">
        <f>ROUND(ROUND(AT103*AG103,2),2)</f>
        <v>0</v>
      </c>
    </row>
    <row r="104" spans="1:107" x14ac:dyDescent="0.2">
      <c r="A104">
        <f>ROW(Source!A125)</f>
        <v>125</v>
      </c>
      <c r="B104">
        <v>224527337</v>
      </c>
      <c r="C104">
        <v>224528108</v>
      </c>
      <c r="D104">
        <v>222911243</v>
      </c>
      <c r="E104">
        <v>1</v>
      </c>
      <c r="F104">
        <v>1</v>
      </c>
      <c r="G104">
        <v>1</v>
      </c>
      <c r="H104">
        <v>3</v>
      </c>
      <c r="I104" t="s">
        <v>745</v>
      </c>
      <c r="J104" t="s">
        <v>746</v>
      </c>
      <c r="K104" t="s">
        <v>747</v>
      </c>
      <c r="L104">
        <v>1348</v>
      </c>
      <c r="N104">
        <v>1009</v>
      </c>
      <c r="O104" t="s">
        <v>18</v>
      </c>
      <c r="P104" t="s">
        <v>18</v>
      </c>
      <c r="Q104">
        <v>1000</v>
      </c>
      <c r="W104">
        <v>0</v>
      </c>
      <c r="X104">
        <v>1216531897</v>
      </c>
      <c r="Y104">
        <v>1E-3</v>
      </c>
      <c r="AA104">
        <v>12430</v>
      </c>
      <c r="AB104">
        <v>0</v>
      </c>
      <c r="AC104">
        <v>0</v>
      </c>
      <c r="AD104">
        <v>0</v>
      </c>
      <c r="AE104">
        <v>12430</v>
      </c>
      <c r="AF104">
        <v>0</v>
      </c>
      <c r="AG104">
        <v>0</v>
      </c>
      <c r="AH104">
        <v>0</v>
      </c>
      <c r="AI104">
        <v>1</v>
      </c>
      <c r="AJ104">
        <v>1</v>
      </c>
      <c r="AK104">
        <v>1</v>
      </c>
      <c r="AL104">
        <v>1</v>
      </c>
      <c r="AN104">
        <v>0</v>
      </c>
      <c r="AO104">
        <v>1</v>
      </c>
      <c r="AP104">
        <v>0</v>
      </c>
      <c r="AQ104">
        <v>0</v>
      </c>
      <c r="AR104">
        <v>0</v>
      </c>
      <c r="AS104" t="s">
        <v>2</v>
      </c>
      <c r="AT104">
        <v>1E-3</v>
      </c>
      <c r="AU104" t="s">
        <v>2</v>
      </c>
      <c r="AV104">
        <v>0</v>
      </c>
      <c r="AW104">
        <v>2</v>
      </c>
      <c r="AX104">
        <v>224528113</v>
      </c>
      <c r="AY104">
        <v>1</v>
      </c>
      <c r="AZ104">
        <v>0</v>
      </c>
      <c r="BA104">
        <v>124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CX104">
        <f>Y104*Source!I125</f>
        <v>2.3000000000000001E-4</v>
      </c>
      <c r="CY104">
        <f>AA104</f>
        <v>12430</v>
      </c>
      <c r="CZ104">
        <f>AE104</f>
        <v>12430</v>
      </c>
      <c r="DA104">
        <f>AI104</f>
        <v>1</v>
      </c>
      <c r="DB104">
        <f>ROUND(ROUND(AT104*CZ104,2),2)</f>
        <v>12.43</v>
      </c>
      <c r="DC104">
        <f>ROUND(ROUND(AT104*AG104,2),2)</f>
        <v>0</v>
      </c>
    </row>
    <row r="105" spans="1:107" x14ac:dyDescent="0.2">
      <c r="A105">
        <f>ROW(Source!A125)</f>
        <v>125</v>
      </c>
      <c r="B105">
        <v>224527337</v>
      </c>
      <c r="C105">
        <v>224528108</v>
      </c>
      <c r="D105">
        <v>222900886</v>
      </c>
      <c r="E105">
        <v>70</v>
      </c>
      <c r="F105">
        <v>1</v>
      </c>
      <c r="G105">
        <v>1</v>
      </c>
      <c r="H105">
        <v>3</v>
      </c>
      <c r="I105" t="s">
        <v>748</v>
      </c>
      <c r="J105" t="s">
        <v>2</v>
      </c>
      <c r="K105" t="s">
        <v>749</v>
      </c>
      <c r="L105">
        <v>1374</v>
      </c>
      <c r="N105">
        <v>74472246</v>
      </c>
      <c r="O105" t="s">
        <v>750</v>
      </c>
      <c r="P105" t="s">
        <v>750</v>
      </c>
      <c r="Q105">
        <v>1</v>
      </c>
      <c r="W105">
        <v>0</v>
      </c>
      <c r="X105">
        <v>-1731369543</v>
      </c>
      <c r="Y105">
        <v>3.1</v>
      </c>
      <c r="AA105">
        <v>1</v>
      </c>
      <c r="AB105">
        <v>0</v>
      </c>
      <c r="AC105">
        <v>0</v>
      </c>
      <c r="AD105">
        <v>0</v>
      </c>
      <c r="AE105">
        <v>1</v>
      </c>
      <c r="AF105">
        <v>0</v>
      </c>
      <c r="AG105">
        <v>0</v>
      </c>
      <c r="AH105">
        <v>0</v>
      </c>
      <c r="AI105">
        <v>1</v>
      </c>
      <c r="AJ105">
        <v>1</v>
      </c>
      <c r="AK105">
        <v>1</v>
      </c>
      <c r="AL105">
        <v>1</v>
      </c>
      <c r="AN105">
        <v>0</v>
      </c>
      <c r="AO105">
        <v>1</v>
      </c>
      <c r="AP105">
        <v>0</v>
      </c>
      <c r="AQ105">
        <v>0</v>
      </c>
      <c r="AR105">
        <v>0</v>
      </c>
      <c r="AS105" t="s">
        <v>2</v>
      </c>
      <c r="AT105">
        <v>3.1</v>
      </c>
      <c r="AU105" t="s">
        <v>2</v>
      </c>
      <c r="AV105">
        <v>0</v>
      </c>
      <c r="AW105">
        <v>2</v>
      </c>
      <c r="AX105">
        <v>224528114</v>
      </c>
      <c r="AY105">
        <v>1</v>
      </c>
      <c r="AZ105">
        <v>0</v>
      </c>
      <c r="BA105">
        <v>125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CX105">
        <f>Y105*Source!I125</f>
        <v>0.71300000000000008</v>
      </c>
      <c r="CY105">
        <f>AA105</f>
        <v>1</v>
      </c>
      <c r="CZ105">
        <f>AE105</f>
        <v>1</v>
      </c>
      <c r="DA105">
        <f>AI105</f>
        <v>1</v>
      </c>
      <c r="DB105">
        <f>ROUND(ROUND(AT105*CZ105,2),2)</f>
        <v>3.1</v>
      </c>
      <c r="DC105">
        <f>ROUND(ROUND(AT105*AG105,2),2)</f>
        <v>0</v>
      </c>
    </row>
    <row r="106" spans="1:107" x14ac:dyDescent="0.2">
      <c r="A106">
        <f>ROW(Source!A127)</f>
        <v>127</v>
      </c>
      <c r="B106">
        <v>224527337</v>
      </c>
      <c r="C106">
        <v>224528116</v>
      </c>
      <c r="D106">
        <v>222895997</v>
      </c>
      <c r="E106">
        <v>70</v>
      </c>
      <c r="F106">
        <v>1</v>
      </c>
      <c r="G106">
        <v>1</v>
      </c>
      <c r="H106">
        <v>1</v>
      </c>
      <c r="I106" t="s">
        <v>735</v>
      </c>
      <c r="J106" t="s">
        <v>2</v>
      </c>
      <c r="K106" t="s">
        <v>736</v>
      </c>
      <c r="L106">
        <v>1191</v>
      </c>
      <c r="N106">
        <v>74472246</v>
      </c>
      <c r="O106" t="s">
        <v>600</v>
      </c>
      <c r="P106" t="s">
        <v>600</v>
      </c>
      <c r="Q106">
        <v>1</v>
      </c>
      <c r="W106">
        <v>0</v>
      </c>
      <c r="X106">
        <v>-2012709214</v>
      </c>
      <c r="Y106">
        <v>5.1324000000000005</v>
      </c>
      <c r="AA106">
        <v>0</v>
      </c>
      <c r="AB106">
        <v>0</v>
      </c>
      <c r="AC106">
        <v>0</v>
      </c>
      <c r="AD106">
        <v>9.4</v>
      </c>
      <c r="AE106">
        <v>0</v>
      </c>
      <c r="AF106">
        <v>0</v>
      </c>
      <c r="AG106">
        <v>0</v>
      </c>
      <c r="AH106">
        <v>9.4</v>
      </c>
      <c r="AI106">
        <v>1</v>
      </c>
      <c r="AJ106">
        <v>1</v>
      </c>
      <c r="AK106">
        <v>1</v>
      </c>
      <c r="AL106">
        <v>1</v>
      </c>
      <c r="AN106">
        <v>0</v>
      </c>
      <c r="AO106">
        <v>1</v>
      </c>
      <c r="AP106">
        <v>1</v>
      </c>
      <c r="AQ106">
        <v>0</v>
      </c>
      <c r="AR106">
        <v>0</v>
      </c>
      <c r="AS106" t="s">
        <v>2</v>
      </c>
      <c r="AT106">
        <v>3.76</v>
      </c>
      <c r="AU106" t="s">
        <v>250</v>
      </c>
      <c r="AV106">
        <v>1</v>
      </c>
      <c r="AW106">
        <v>2</v>
      </c>
      <c r="AX106">
        <v>224528125</v>
      </c>
      <c r="AY106">
        <v>1</v>
      </c>
      <c r="AZ106">
        <v>0</v>
      </c>
      <c r="BA106">
        <v>126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CX106">
        <f>Y106*Source!I127</f>
        <v>1.1804520000000003</v>
      </c>
      <c r="CY106">
        <f>AD106</f>
        <v>9.4</v>
      </c>
      <c r="CZ106">
        <f>AH106</f>
        <v>9.4</v>
      </c>
      <c r="DA106">
        <f>AL106</f>
        <v>1</v>
      </c>
      <c r="DB106">
        <f>ROUND(((ROUND(AT106*CZ106,2)*1.3)*1.05),2)</f>
        <v>48.24</v>
      </c>
      <c r="DC106">
        <f>ROUND(((ROUND(AT106*AG106,2)*1.3)*1.05),2)</f>
        <v>0</v>
      </c>
    </row>
    <row r="107" spans="1:107" x14ac:dyDescent="0.2">
      <c r="A107">
        <f>ROW(Source!A127)</f>
        <v>127</v>
      </c>
      <c r="B107">
        <v>224527337</v>
      </c>
      <c r="C107">
        <v>224528116</v>
      </c>
      <c r="D107">
        <v>222896153</v>
      </c>
      <c r="E107">
        <v>70</v>
      </c>
      <c r="F107">
        <v>1</v>
      </c>
      <c r="G107">
        <v>1</v>
      </c>
      <c r="H107">
        <v>1</v>
      </c>
      <c r="I107" t="s">
        <v>607</v>
      </c>
      <c r="J107" t="s">
        <v>2</v>
      </c>
      <c r="K107" t="s">
        <v>608</v>
      </c>
      <c r="L107">
        <v>1191</v>
      </c>
      <c r="N107">
        <v>74472246</v>
      </c>
      <c r="O107" t="s">
        <v>600</v>
      </c>
      <c r="P107" t="s">
        <v>600</v>
      </c>
      <c r="Q107">
        <v>1</v>
      </c>
      <c r="W107">
        <v>0</v>
      </c>
      <c r="X107">
        <v>-1417349443</v>
      </c>
      <c r="Y107">
        <v>2.6000000000000002E-2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1</v>
      </c>
      <c r="AJ107">
        <v>1</v>
      </c>
      <c r="AK107">
        <v>1</v>
      </c>
      <c r="AL107">
        <v>1</v>
      </c>
      <c r="AN107">
        <v>0</v>
      </c>
      <c r="AO107">
        <v>1</v>
      </c>
      <c r="AP107">
        <v>1</v>
      </c>
      <c r="AQ107">
        <v>0</v>
      </c>
      <c r="AR107">
        <v>0</v>
      </c>
      <c r="AS107" t="s">
        <v>2</v>
      </c>
      <c r="AT107">
        <v>0.02</v>
      </c>
      <c r="AU107" t="s">
        <v>234</v>
      </c>
      <c r="AV107">
        <v>2</v>
      </c>
      <c r="AW107">
        <v>2</v>
      </c>
      <c r="AX107">
        <v>224528126</v>
      </c>
      <c r="AY107">
        <v>1</v>
      </c>
      <c r="AZ107">
        <v>0</v>
      </c>
      <c r="BA107">
        <v>127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CX107">
        <f>Y107*Source!I127</f>
        <v>5.9800000000000009E-3</v>
      </c>
      <c r="CY107">
        <f>AD107</f>
        <v>0</v>
      </c>
      <c r="CZ107">
        <f>AH107</f>
        <v>0</v>
      </c>
      <c r="DA107">
        <f>AL107</f>
        <v>1</v>
      </c>
      <c r="DB107">
        <f>ROUND((ROUND(AT107*CZ107,2)*1.3),2)</f>
        <v>0</v>
      </c>
      <c r="DC107">
        <f>ROUND((ROUND(AT107*AG107,2)*1.3),2)</f>
        <v>0</v>
      </c>
    </row>
    <row r="108" spans="1:107" x14ac:dyDescent="0.2">
      <c r="A108">
        <f>ROW(Source!A127)</f>
        <v>127</v>
      </c>
      <c r="B108">
        <v>224527337</v>
      </c>
      <c r="C108">
        <v>224528116</v>
      </c>
      <c r="D108">
        <v>223057821</v>
      </c>
      <c r="E108">
        <v>1</v>
      </c>
      <c r="F108">
        <v>1</v>
      </c>
      <c r="G108">
        <v>1</v>
      </c>
      <c r="H108">
        <v>2</v>
      </c>
      <c r="I108" t="s">
        <v>751</v>
      </c>
      <c r="J108" t="s">
        <v>752</v>
      </c>
      <c r="K108" t="s">
        <v>753</v>
      </c>
      <c r="L108">
        <v>1367</v>
      </c>
      <c r="N108">
        <v>1011</v>
      </c>
      <c r="O108" t="s">
        <v>612</v>
      </c>
      <c r="P108" t="s">
        <v>612</v>
      </c>
      <c r="Q108">
        <v>1</v>
      </c>
      <c r="W108">
        <v>0</v>
      </c>
      <c r="X108">
        <v>-430484415</v>
      </c>
      <c r="Y108">
        <v>1.3000000000000001E-2</v>
      </c>
      <c r="AA108">
        <v>0</v>
      </c>
      <c r="AB108">
        <v>115.4</v>
      </c>
      <c r="AC108">
        <v>13.5</v>
      </c>
      <c r="AD108">
        <v>0</v>
      </c>
      <c r="AE108">
        <v>0</v>
      </c>
      <c r="AF108">
        <v>115.4</v>
      </c>
      <c r="AG108">
        <v>13.5</v>
      </c>
      <c r="AH108">
        <v>0</v>
      </c>
      <c r="AI108">
        <v>1</v>
      </c>
      <c r="AJ108">
        <v>1</v>
      </c>
      <c r="AK108">
        <v>1</v>
      </c>
      <c r="AL108">
        <v>1</v>
      </c>
      <c r="AN108">
        <v>0</v>
      </c>
      <c r="AO108">
        <v>1</v>
      </c>
      <c r="AP108">
        <v>1</v>
      </c>
      <c r="AQ108">
        <v>0</v>
      </c>
      <c r="AR108">
        <v>0</v>
      </c>
      <c r="AS108" t="s">
        <v>2</v>
      </c>
      <c r="AT108">
        <v>0.01</v>
      </c>
      <c r="AU108" t="s">
        <v>234</v>
      </c>
      <c r="AV108">
        <v>0</v>
      </c>
      <c r="AW108">
        <v>2</v>
      </c>
      <c r="AX108">
        <v>224528127</v>
      </c>
      <c r="AY108">
        <v>1</v>
      </c>
      <c r="AZ108">
        <v>0</v>
      </c>
      <c r="BA108">
        <v>128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CX108">
        <f>Y108*Source!I127</f>
        <v>2.9900000000000005E-3</v>
      </c>
      <c r="CY108">
        <f>AB108</f>
        <v>115.4</v>
      </c>
      <c r="CZ108">
        <f>AF108</f>
        <v>115.4</v>
      </c>
      <c r="DA108">
        <f>AJ108</f>
        <v>1</v>
      </c>
      <c r="DB108">
        <f>ROUND((ROUND(AT108*CZ108,2)*1.3),2)</f>
        <v>1.5</v>
      </c>
      <c r="DC108">
        <f>ROUND((ROUND(AT108*AG108,2)*1.3),2)</f>
        <v>0.18</v>
      </c>
    </row>
    <row r="109" spans="1:107" x14ac:dyDescent="0.2">
      <c r="A109">
        <f>ROW(Source!A127)</f>
        <v>127</v>
      </c>
      <c r="B109">
        <v>224527337</v>
      </c>
      <c r="C109">
        <v>224528116</v>
      </c>
      <c r="D109">
        <v>223058751</v>
      </c>
      <c r="E109">
        <v>1</v>
      </c>
      <c r="F109">
        <v>1</v>
      </c>
      <c r="G109">
        <v>1</v>
      </c>
      <c r="H109">
        <v>2</v>
      </c>
      <c r="I109" t="s">
        <v>624</v>
      </c>
      <c r="J109" t="s">
        <v>625</v>
      </c>
      <c r="K109" t="s">
        <v>626</v>
      </c>
      <c r="L109">
        <v>1367</v>
      </c>
      <c r="N109">
        <v>1011</v>
      </c>
      <c r="O109" t="s">
        <v>612</v>
      </c>
      <c r="P109" t="s">
        <v>612</v>
      </c>
      <c r="Q109">
        <v>1</v>
      </c>
      <c r="W109">
        <v>0</v>
      </c>
      <c r="X109">
        <v>509054691</v>
      </c>
      <c r="Y109">
        <v>1.3000000000000001E-2</v>
      </c>
      <c r="AA109">
        <v>0</v>
      </c>
      <c r="AB109">
        <v>65.709999999999994</v>
      </c>
      <c r="AC109">
        <v>11.6</v>
      </c>
      <c r="AD109">
        <v>0</v>
      </c>
      <c r="AE109">
        <v>0</v>
      </c>
      <c r="AF109">
        <v>65.709999999999994</v>
      </c>
      <c r="AG109">
        <v>11.6</v>
      </c>
      <c r="AH109">
        <v>0</v>
      </c>
      <c r="AI109">
        <v>1</v>
      </c>
      <c r="AJ109">
        <v>1</v>
      </c>
      <c r="AK109">
        <v>1</v>
      </c>
      <c r="AL109">
        <v>1</v>
      </c>
      <c r="AN109">
        <v>0</v>
      </c>
      <c r="AO109">
        <v>1</v>
      </c>
      <c r="AP109">
        <v>1</v>
      </c>
      <c r="AQ109">
        <v>0</v>
      </c>
      <c r="AR109">
        <v>0</v>
      </c>
      <c r="AS109" t="s">
        <v>2</v>
      </c>
      <c r="AT109">
        <v>0.01</v>
      </c>
      <c r="AU109" t="s">
        <v>234</v>
      </c>
      <c r="AV109">
        <v>0</v>
      </c>
      <c r="AW109">
        <v>2</v>
      </c>
      <c r="AX109">
        <v>224528128</v>
      </c>
      <c r="AY109">
        <v>1</v>
      </c>
      <c r="AZ109">
        <v>0</v>
      </c>
      <c r="BA109">
        <v>129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CX109">
        <f>Y109*Source!I127</f>
        <v>2.9900000000000005E-3</v>
      </c>
      <c r="CY109">
        <f>AB109</f>
        <v>65.709999999999994</v>
      </c>
      <c r="CZ109">
        <f>AF109</f>
        <v>65.709999999999994</v>
      </c>
      <c r="DA109">
        <f>AJ109</f>
        <v>1</v>
      </c>
      <c r="DB109">
        <f>ROUND((ROUND(AT109*CZ109,2)*1.3),2)</f>
        <v>0.86</v>
      </c>
      <c r="DC109">
        <f>ROUND((ROUND(AT109*AG109,2)*1.3),2)</f>
        <v>0.16</v>
      </c>
    </row>
    <row r="110" spans="1:107" x14ac:dyDescent="0.2">
      <c r="A110">
        <f>ROW(Source!A127)</f>
        <v>127</v>
      </c>
      <c r="B110">
        <v>224527337</v>
      </c>
      <c r="C110">
        <v>224528116</v>
      </c>
      <c r="D110">
        <v>222908729</v>
      </c>
      <c r="E110">
        <v>1</v>
      </c>
      <c r="F110">
        <v>1</v>
      </c>
      <c r="G110">
        <v>1</v>
      </c>
      <c r="H110">
        <v>3</v>
      </c>
      <c r="I110" t="s">
        <v>754</v>
      </c>
      <c r="J110" t="s">
        <v>755</v>
      </c>
      <c r="K110" t="s">
        <v>756</v>
      </c>
      <c r="L110">
        <v>1346</v>
      </c>
      <c r="N110">
        <v>1009</v>
      </c>
      <c r="O110" t="s">
        <v>33</v>
      </c>
      <c r="P110" t="s">
        <v>33</v>
      </c>
      <c r="Q110">
        <v>1</v>
      </c>
      <c r="W110">
        <v>0</v>
      </c>
      <c r="X110">
        <v>1682799448</v>
      </c>
      <c r="Y110">
        <v>0.16</v>
      </c>
      <c r="AA110">
        <v>30.4</v>
      </c>
      <c r="AB110">
        <v>0</v>
      </c>
      <c r="AC110">
        <v>0</v>
      </c>
      <c r="AD110">
        <v>0</v>
      </c>
      <c r="AE110">
        <v>30.4</v>
      </c>
      <c r="AF110">
        <v>0</v>
      </c>
      <c r="AG110">
        <v>0</v>
      </c>
      <c r="AH110">
        <v>0</v>
      </c>
      <c r="AI110">
        <v>1</v>
      </c>
      <c r="AJ110">
        <v>1</v>
      </c>
      <c r="AK110">
        <v>1</v>
      </c>
      <c r="AL110">
        <v>1</v>
      </c>
      <c r="AN110">
        <v>0</v>
      </c>
      <c r="AO110">
        <v>1</v>
      </c>
      <c r="AP110">
        <v>0</v>
      </c>
      <c r="AQ110">
        <v>0</v>
      </c>
      <c r="AR110">
        <v>0</v>
      </c>
      <c r="AS110" t="s">
        <v>2</v>
      </c>
      <c r="AT110">
        <v>0.16</v>
      </c>
      <c r="AU110" t="s">
        <v>2</v>
      </c>
      <c r="AV110">
        <v>0</v>
      </c>
      <c r="AW110">
        <v>2</v>
      </c>
      <c r="AX110">
        <v>224528129</v>
      </c>
      <c r="AY110">
        <v>1</v>
      </c>
      <c r="AZ110">
        <v>0</v>
      </c>
      <c r="BA110">
        <v>130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CX110">
        <f>Y110*Source!I127</f>
        <v>3.6799999999999999E-2</v>
      </c>
      <c r="CY110">
        <f>AA110</f>
        <v>30.4</v>
      </c>
      <c r="CZ110">
        <f>AE110</f>
        <v>30.4</v>
      </c>
      <c r="DA110">
        <f>AI110</f>
        <v>1</v>
      </c>
      <c r="DB110">
        <f t="shared" ref="DB110:DB119" si="16">ROUND(ROUND(AT110*CZ110,2),2)</f>
        <v>4.8600000000000003</v>
      </c>
      <c r="DC110">
        <f t="shared" ref="DC110:DC119" si="17">ROUND(ROUND(AT110*AG110,2),2)</f>
        <v>0</v>
      </c>
    </row>
    <row r="111" spans="1:107" x14ac:dyDescent="0.2">
      <c r="A111">
        <f>ROW(Source!A127)</f>
        <v>127</v>
      </c>
      <c r="B111">
        <v>224527337</v>
      </c>
      <c r="C111">
        <v>224528116</v>
      </c>
      <c r="D111">
        <v>222908747</v>
      </c>
      <c r="E111">
        <v>1</v>
      </c>
      <c r="F111">
        <v>1</v>
      </c>
      <c r="G111">
        <v>1</v>
      </c>
      <c r="H111">
        <v>3</v>
      </c>
      <c r="I111" t="s">
        <v>757</v>
      </c>
      <c r="J111" t="s">
        <v>758</v>
      </c>
      <c r="K111" t="s">
        <v>759</v>
      </c>
      <c r="L111">
        <v>1302</v>
      </c>
      <c r="N111">
        <v>1003</v>
      </c>
      <c r="O111" t="s">
        <v>760</v>
      </c>
      <c r="P111" t="s">
        <v>760</v>
      </c>
      <c r="Q111">
        <v>10</v>
      </c>
      <c r="W111">
        <v>0</v>
      </c>
      <c r="X111">
        <v>-893440473</v>
      </c>
      <c r="Y111">
        <v>0.55000000000000004</v>
      </c>
      <c r="AA111">
        <v>6.9</v>
      </c>
      <c r="AB111">
        <v>0</v>
      </c>
      <c r="AC111">
        <v>0</v>
      </c>
      <c r="AD111">
        <v>0</v>
      </c>
      <c r="AE111">
        <v>6.9</v>
      </c>
      <c r="AF111">
        <v>0</v>
      </c>
      <c r="AG111">
        <v>0</v>
      </c>
      <c r="AH111">
        <v>0</v>
      </c>
      <c r="AI111">
        <v>1</v>
      </c>
      <c r="AJ111">
        <v>1</v>
      </c>
      <c r="AK111">
        <v>1</v>
      </c>
      <c r="AL111">
        <v>1</v>
      </c>
      <c r="AN111">
        <v>0</v>
      </c>
      <c r="AO111">
        <v>1</v>
      </c>
      <c r="AP111">
        <v>0</v>
      </c>
      <c r="AQ111">
        <v>0</v>
      </c>
      <c r="AR111">
        <v>0</v>
      </c>
      <c r="AS111" t="s">
        <v>2</v>
      </c>
      <c r="AT111">
        <v>0.55000000000000004</v>
      </c>
      <c r="AU111" t="s">
        <v>2</v>
      </c>
      <c r="AV111">
        <v>0</v>
      </c>
      <c r="AW111">
        <v>2</v>
      </c>
      <c r="AX111">
        <v>224528130</v>
      </c>
      <c r="AY111">
        <v>1</v>
      </c>
      <c r="AZ111">
        <v>0</v>
      </c>
      <c r="BA111">
        <v>131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CX111">
        <f>Y111*Source!I127</f>
        <v>0.12650000000000003</v>
      </c>
      <c r="CY111">
        <f>AA111</f>
        <v>6.9</v>
      </c>
      <c r="CZ111">
        <f>AE111</f>
        <v>6.9</v>
      </c>
      <c r="DA111">
        <f>AI111</f>
        <v>1</v>
      </c>
      <c r="DB111">
        <f t="shared" si="16"/>
        <v>3.8</v>
      </c>
      <c r="DC111">
        <f t="shared" si="17"/>
        <v>0</v>
      </c>
    </row>
    <row r="112" spans="1:107" x14ac:dyDescent="0.2">
      <c r="A112">
        <f>ROW(Source!A127)</f>
        <v>127</v>
      </c>
      <c r="B112">
        <v>224527337</v>
      </c>
      <c r="C112">
        <v>224528116</v>
      </c>
      <c r="D112">
        <v>222939833</v>
      </c>
      <c r="E112">
        <v>1</v>
      </c>
      <c r="F112">
        <v>1</v>
      </c>
      <c r="G112">
        <v>1</v>
      </c>
      <c r="H112">
        <v>3</v>
      </c>
      <c r="I112" t="s">
        <v>761</v>
      </c>
      <c r="J112" t="s">
        <v>762</v>
      </c>
      <c r="K112" t="s">
        <v>763</v>
      </c>
      <c r="L112">
        <v>1346</v>
      </c>
      <c r="N112">
        <v>1009</v>
      </c>
      <c r="O112" t="s">
        <v>33</v>
      </c>
      <c r="P112" t="s">
        <v>33</v>
      </c>
      <c r="Q112">
        <v>1</v>
      </c>
      <c r="W112">
        <v>0</v>
      </c>
      <c r="X112">
        <v>-211331552</v>
      </c>
      <c r="Y112">
        <v>0.05</v>
      </c>
      <c r="AA112">
        <v>28.6</v>
      </c>
      <c r="AB112">
        <v>0</v>
      </c>
      <c r="AC112">
        <v>0</v>
      </c>
      <c r="AD112">
        <v>0</v>
      </c>
      <c r="AE112">
        <v>28.6</v>
      </c>
      <c r="AF112">
        <v>0</v>
      </c>
      <c r="AG112">
        <v>0</v>
      </c>
      <c r="AH112">
        <v>0</v>
      </c>
      <c r="AI112">
        <v>1</v>
      </c>
      <c r="AJ112">
        <v>1</v>
      </c>
      <c r="AK112">
        <v>1</v>
      </c>
      <c r="AL112">
        <v>1</v>
      </c>
      <c r="AN112">
        <v>0</v>
      </c>
      <c r="AO112">
        <v>1</v>
      </c>
      <c r="AP112">
        <v>0</v>
      </c>
      <c r="AQ112">
        <v>0</v>
      </c>
      <c r="AR112">
        <v>0</v>
      </c>
      <c r="AS112" t="s">
        <v>2</v>
      </c>
      <c r="AT112">
        <v>0.05</v>
      </c>
      <c r="AU112" t="s">
        <v>2</v>
      </c>
      <c r="AV112">
        <v>0</v>
      </c>
      <c r="AW112">
        <v>2</v>
      </c>
      <c r="AX112">
        <v>224528131</v>
      </c>
      <c r="AY112">
        <v>1</v>
      </c>
      <c r="AZ112">
        <v>0</v>
      </c>
      <c r="BA112">
        <v>132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CX112">
        <f>Y112*Source!I127</f>
        <v>1.1500000000000002E-2</v>
      </c>
      <c r="CY112">
        <f>AA112</f>
        <v>28.6</v>
      </c>
      <c r="CZ112">
        <f>AE112</f>
        <v>28.6</v>
      </c>
      <c r="DA112">
        <f>AI112</f>
        <v>1</v>
      </c>
      <c r="DB112">
        <f t="shared" si="16"/>
        <v>1.43</v>
      </c>
      <c r="DC112">
        <f t="shared" si="17"/>
        <v>0</v>
      </c>
    </row>
    <row r="113" spans="1:107" x14ac:dyDescent="0.2">
      <c r="A113">
        <f>ROW(Source!A127)</f>
        <v>127</v>
      </c>
      <c r="B113">
        <v>224527337</v>
      </c>
      <c r="C113">
        <v>224528116</v>
      </c>
      <c r="D113">
        <v>222900886</v>
      </c>
      <c r="E113">
        <v>70</v>
      </c>
      <c r="F113">
        <v>1</v>
      </c>
      <c r="G113">
        <v>1</v>
      </c>
      <c r="H113">
        <v>3</v>
      </c>
      <c r="I113" t="s">
        <v>748</v>
      </c>
      <c r="J113" t="s">
        <v>2</v>
      </c>
      <c r="K113" t="s">
        <v>749</v>
      </c>
      <c r="L113">
        <v>1374</v>
      </c>
      <c r="N113">
        <v>74472246</v>
      </c>
      <c r="O113" t="s">
        <v>750</v>
      </c>
      <c r="P113" t="s">
        <v>750</v>
      </c>
      <c r="Q113">
        <v>1</v>
      </c>
      <c r="W113">
        <v>0</v>
      </c>
      <c r="X113">
        <v>-1731369543</v>
      </c>
      <c r="Y113">
        <v>0.71</v>
      </c>
      <c r="AA113">
        <v>1</v>
      </c>
      <c r="AB113">
        <v>0</v>
      </c>
      <c r="AC113">
        <v>0</v>
      </c>
      <c r="AD113">
        <v>0</v>
      </c>
      <c r="AE113">
        <v>1</v>
      </c>
      <c r="AF113">
        <v>0</v>
      </c>
      <c r="AG113">
        <v>0</v>
      </c>
      <c r="AH113">
        <v>0</v>
      </c>
      <c r="AI113">
        <v>1</v>
      </c>
      <c r="AJ113">
        <v>1</v>
      </c>
      <c r="AK113">
        <v>1</v>
      </c>
      <c r="AL113">
        <v>1</v>
      </c>
      <c r="AN113">
        <v>0</v>
      </c>
      <c r="AO113">
        <v>1</v>
      </c>
      <c r="AP113">
        <v>0</v>
      </c>
      <c r="AQ113">
        <v>0</v>
      </c>
      <c r="AR113">
        <v>0</v>
      </c>
      <c r="AS113" t="s">
        <v>2</v>
      </c>
      <c r="AT113">
        <v>0.71</v>
      </c>
      <c r="AU113" t="s">
        <v>2</v>
      </c>
      <c r="AV113">
        <v>0</v>
      </c>
      <c r="AW113">
        <v>2</v>
      </c>
      <c r="AX113">
        <v>224528132</v>
      </c>
      <c r="AY113">
        <v>1</v>
      </c>
      <c r="AZ113">
        <v>0</v>
      </c>
      <c r="BA113">
        <v>133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CX113">
        <f>Y113*Source!I127</f>
        <v>0.1633</v>
      </c>
      <c r="CY113">
        <f>AA113</f>
        <v>1</v>
      </c>
      <c r="CZ113">
        <f>AE113</f>
        <v>1</v>
      </c>
      <c r="DA113">
        <f>AI113</f>
        <v>1</v>
      </c>
      <c r="DB113">
        <f t="shared" si="16"/>
        <v>0.71</v>
      </c>
      <c r="DC113">
        <f t="shared" si="17"/>
        <v>0</v>
      </c>
    </row>
    <row r="114" spans="1:107" x14ac:dyDescent="0.2">
      <c r="A114">
        <f>ROW(Source!A164)</f>
        <v>164</v>
      </c>
      <c r="B114">
        <v>224527337</v>
      </c>
      <c r="C114">
        <v>224528192</v>
      </c>
      <c r="D114">
        <v>178394079</v>
      </c>
      <c r="E114">
        <v>70</v>
      </c>
      <c r="F114">
        <v>1</v>
      </c>
      <c r="G114">
        <v>1</v>
      </c>
      <c r="H114">
        <v>1</v>
      </c>
      <c r="I114" t="s">
        <v>605</v>
      </c>
      <c r="J114" t="s">
        <v>2</v>
      </c>
      <c r="K114" t="s">
        <v>606</v>
      </c>
      <c r="L114">
        <v>1191</v>
      </c>
      <c r="N114">
        <v>74472246</v>
      </c>
      <c r="O114" t="s">
        <v>600</v>
      </c>
      <c r="P114" t="s">
        <v>600</v>
      </c>
      <c r="Q114">
        <v>1</v>
      </c>
      <c r="W114">
        <v>0</v>
      </c>
      <c r="X114">
        <v>-961628416</v>
      </c>
      <c r="Y114">
        <v>42.01</v>
      </c>
      <c r="AA114">
        <v>0</v>
      </c>
      <c r="AB114">
        <v>0</v>
      </c>
      <c r="AC114">
        <v>0</v>
      </c>
      <c r="AD114">
        <v>8.4600000000000009</v>
      </c>
      <c r="AE114">
        <v>0</v>
      </c>
      <c r="AF114">
        <v>0</v>
      </c>
      <c r="AG114">
        <v>0</v>
      </c>
      <c r="AH114">
        <v>8.4600000000000009</v>
      </c>
      <c r="AI114">
        <v>1</v>
      </c>
      <c r="AJ114">
        <v>1</v>
      </c>
      <c r="AK114">
        <v>1</v>
      </c>
      <c r="AL114">
        <v>1</v>
      </c>
      <c r="AN114">
        <v>0</v>
      </c>
      <c r="AO114">
        <v>1</v>
      </c>
      <c r="AP114">
        <v>0</v>
      </c>
      <c r="AQ114">
        <v>0</v>
      </c>
      <c r="AR114">
        <v>0</v>
      </c>
      <c r="AS114" t="s">
        <v>2</v>
      </c>
      <c r="AT114">
        <v>42.01</v>
      </c>
      <c r="AU114" t="s">
        <v>2</v>
      </c>
      <c r="AV114">
        <v>1</v>
      </c>
      <c r="AW114">
        <v>2</v>
      </c>
      <c r="AX114">
        <v>224528199</v>
      </c>
      <c r="AY114">
        <v>1</v>
      </c>
      <c r="AZ114">
        <v>0</v>
      </c>
      <c r="BA114">
        <v>134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CX114">
        <f>Y114*Source!I164</f>
        <v>10.040389999999999</v>
      </c>
      <c r="CY114">
        <f>AD114</f>
        <v>8.4600000000000009</v>
      </c>
      <c r="CZ114">
        <f>AH114</f>
        <v>8.4600000000000009</v>
      </c>
      <c r="DA114">
        <f>AL114</f>
        <v>1</v>
      </c>
      <c r="DB114">
        <f t="shared" si="16"/>
        <v>355.4</v>
      </c>
      <c r="DC114">
        <f t="shared" si="17"/>
        <v>0</v>
      </c>
    </row>
    <row r="115" spans="1:107" x14ac:dyDescent="0.2">
      <c r="A115">
        <f>ROW(Source!A164)</f>
        <v>164</v>
      </c>
      <c r="B115">
        <v>224527337</v>
      </c>
      <c r="C115">
        <v>224528192</v>
      </c>
      <c r="D115">
        <v>178392216</v>
      </c>
      <c r="E115">
        <v>70</v>
      </c>
      <c r="F115">
        <v>1</v>
      </c>
      <c r="G115">
        <v>1</v>
      </c>
      <c r="H115">
        <v>1</v>
      </c>
      <c r="I115" t="s">
        <v>607</v>
      </c>
      <c r="J115" t="s">
        <v>2</v>
      </c>
      <c r="K115" t="s">
        <v>608</v>
      </c>
      <c r="L115">
        <v>1191</v>
      </c>
      <c r="N115">
        <v>74472246</v>
      </c>
      <c r="O115" t="s">
        <v>600</v>
      </c>
      <c r="P115" t="s">
        <v>600</v>
      </c>
      <c r="Q115">
        <v>1</v>
      </c>
      <c r="W115">
        <v>0</v>
      </c>
      <c r="X115">
        <v>-1417349443</v>
      </c>
      <c r="Y115">
        <v>0.99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1</v>
      </c>
      <c r="AJ115">
        <v>1</v>
      </c>
      <c r="AK115">
        <v>1</v>
      </c>
      <c r="AL115">
        <v>1</v>
      </c>
      <c r="AN115">
        <v>0</v>
      </c>
      <c r="AO115">
        <v>1</v>
      </c>
      <c r="AP115">
        <v>0</v>
      </c>
      <c r="AQ115">
        <v>0</v>
      </c>
      <c r="AR115">
        <v>0</v>
      </c>
      <c r="AS115" t="s">
        <v>2</v>
      </c>
      <c r="AT115">
        <v>0.99</v>
      </c>
      <c r="AU115" t="s">
        <v>2</v>
      </c>
      <c r="AV115">
        <v>2</v>
      </c>
      <c r="AW115">
        <v>2</v>
      </c>
      <c r="AX115">
        <v>224528200</v>
      </c>
      <c r="AY115">
        <v>1</v>
      </c>
      <c r="AZ115">
        <v>0</v>
      </c>
      <c r="BA115">
        <v>135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CX115">
        <f>Y115*Source!I164</f>
        <v>0.23660999999999999</v>
      </c>
      <c r="CY115">
        <f>AD115</f>
        <v>0</v>
      </c>
      <c r="CZ115">
        <f>AH115</f>
        <v>0</v>
      </c>
      <c r="DA115">
        <f>AL115</f>
        <v>1</v>
      </c>
      <c r="DB115">
        <f t="shared" si="16"/>
        <v>0</v>
      </c>
      <c r="DC115">
        <f t="shared" si="17"/>
        <v>0</v>
      </c>
    </row>
    <row r="116" spans="1:107" x14ac:dyDescent="0.2">
      <c r="A116">
        <f>ROW(Source!A164)</f>
        <v>164</v>
      </c>
      <c r="B116">
        <v>224527337</v>
      </c>
      <c r="C116">
        <v>224528192</v>
      </c>
      <c r="D116">
        <v>223057975</v>
      </c>
      <c r="E116">
        <v>1</v>
      </c>
      <c r="F116">
        <v>1</v>
      </c>
      <c r="G116">
        <v>1</v>
      </c>
      <c r="H116">
        <v>2</v>
      </c>
      <c r="I116" t="s">
        <v>609</v>
      </c>
      <c r="J116" t="s">
        <v>610</v>
      </c>
      <c r="K116" t="s">
        <v>611</v>
      </c>
      <c r="L116">
        <v>1367</v>
      </c>
      <c r="N116">
        <v>1011</v>
      </c>
      <c r="O116" t="s">
        <v>612</v>
      </c>
      <c r="P116" t="s">
        <v>612</v>
      </c>
      <c r="Q116">
        <v>1</v>
      </c>
      <c r="W116">
        <v>0</v>
      </c>
      <c r="X116">
        <v>-896236776</v>
      </c>
      <c r="Y116">
        <v>0.02</v>
      </c>
      <c r="AA116">
        <v>0</v>
      </c>
      <c r="AB116">
        <v>89.99</v>
      </c>
      <c r="AC116">
        <v>10.06</v>
      </c>
      <c r="AD116">
        <v>0</v>
      </c>
      <c r="AE116">
        <v>0</v>
      </c>
      <c r="AF116">
        <v>89.99</v>
      </c>
      <c r="AG116">
        <v>10.06</v>
      </c>
      <c r="AH116">
        <v>0</v>
      </c>
      <c r="AI116">
        <v>1</v>
      </c>
      <c r="AJ116">
        <v>1</v>
      </c>
      <c r="AK116">
        <v>1</v>
      </c>
      <c r="AL116">
        <v>1</v>
      </c>
      <c r="AN116">
        <v>0</v>
      </c>
      <c r="AO116">
        <v>1</v>
      </c>
      <c r="AP116">
        <v>0</v>
      </c>
      <c r="AQ116">
        <v>0</v>
      </c>
      <c r="AR116">
        <v>0</v>
      </c>
      <c r="AS116" t="s">
        <v>2</v>
      </c>
      <c r="AT116">
        <v>0.02</v>
      </c>
      <c r="AU116" t="s">
        <v>2</v>
      </c>
      <c r="AV116">
        <v>0</v>
      </c>
      <c r="AW116">
        <v>2</v>
      </c>
      <c r="AX116">
        <v>224528201</v>
      </c>
      <c r="AY116">
        <v>1</v>
      </c>
      <c r="AZ116">
        <v>0</v>
      </c>
      <c r="BA116">
        <v>136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CX116">
        <f>Y116*Source!I164</f>
        <v>4.7799999999999995E-3</v>
      </c>
      <c r="CY116">
        <f>AB116</f>
        <v>89.99</v>
      </c>
      <c r="CZ116">
        <f>AF116</f>
        <v>89.99</v>
      </c>
      <c r="DA116">
        <f>AJ116</f>
        <v>1</v>
      </c>
      <c r="DB116">
        <f t="shared" si="16"/>
        <v>1.8</v>
      </c>
      <c r="DC116">
        <f t="shared" si="17"/>
        <v>0.2</v>
      </c>
    </row>
    <row r="117" spans="1:107" x14ac:dyDescent="0.2">
      <c r="A117">
        <f>ROW(Source!A164)</f>
        <v>164</v>
      </c>
      <c r="B117">
        <v>224527337</v>
      </c>
      <c r="C117">
        <v>224528192</v>
      </c>
      <c r="D117">
        <v>223058015</v>
      </c>
      <c r="E117">
        <v>1</v>
      </c>
      <c r="F117">
        <v>1</v>
      </c>
      <c r="G117">
        <v>1</v>
      </c>
      <c r="H117">
        <v>2</v>
      </c>
      <c r="I117" t="s">
        <v>613</v>
      </c>
      <c r="J117" t="s">
        <v>614</v>
      </c>
      <c r="K117" t="s">
        <v>615</v>
      </c>
      <c r="L117">
        <v>1367</v>
      </c>
      <c r="N117">
        <v>1011</v>
      </c>
      <c r="O117" t="s">
        <v>612</v>
      </c>
      <c r="P117" t="s">
        <v>612</v>
      </c>
      <c r="Q117">
        <v>1</v>
      </c>
      <c r="W117">
        <v>0</v>
      </c>
      <c r="X117">
        <v>1232162608</v>
      </c>
      <c r="Y117">
        <v>0.22</v>
      </c>
      <c r="AA117">
        <v>0</v>
      </c>
      <c r="AB117">
        <v>31.26</v>
      </c>
      <c r="AC117">
        <v>13.5</v>
      </c>
      <c r="AD117">
        <v>0</v>
      </c>
      <c r="AE117">
        <v>0</v>
      </c>
      <c r="AF117">
        <v>31.26</v>
      </c>
      <c r="AG117">
        <v>13.5</v>
      </c>
      <c r="AH117">
        <v>0</v>
      </c>
      <c r="AI117">
        <v>1</v>
      </c>
      <c r="AJ117">
        <v>1</v>
      </c>
      <c r="AK117">
        <v>1</v>
      </c>
      <c r="AL117">
        <v>1</v>
      </c>
      <c r="AN117">
        <v>0</v>
      </c>
      <c r="AO117">
        <v>1</v>
      </c>
      <c r="AP117">
        <v>0</v>
      </c>
      <c r="AQ117">
        <v>0</v>
      </c>
      <c r="AR117">
        <v>0</v>
      </c>
      <c r="AS117" t="s">
        <v>2</v>
      </c>
      <c r="AT117">
        <v>0.22</v>
      </c>
      <c r="AU117" t="s">
        <v>2</v>
      </c>
      <c r="AV117">
        <v>0</v>
      </c>
      <c r="AW117">
        <v>2</v>
      </c>
      <c r="AX117">
        <v>224528202</v>
      </c>
      <c r="AY117">
        <v>1</v>
      </c>
      <c r="AZ117">
        <v>0</v>
      </c>
      <c r="BA117">
        <v>137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CX117">
        <f>Y117*Source!I164</f>
        <v>5.2579999999999995E-2</v>
      </c>
      <c r="CY117">
        <f>AB117</f>
        <v>31.26</v>
      </c>
      <c r="CZ117">
        <f>AF117</f>
        <v>31.26</v>
      </c>
      <c r="DA117">
        <f>AJ117</f>
        <v>1</v>
      </c>
      <c r="DB117">
        <f t="shared" si="16"/>
        <v>6.88</v>
      </c>
      <c r="DC117">
        <f t="shared" si="17"/>
        <v>2.97</v>
      </c>
    </row>
    <row r="118" spans="1:107" x14ac:dyDescent="0.2">
      <c r="A118">
        <f>ROW(Source!A164)</f>
        <v>164</v>
      </c>
      <c r="B118">
        <v>224527337</v>
      </c>
      <c r="C118">
        <v>224528192</v>
      </c>
      <c r="D118">
        <v>223058138</v>
      </c>
      <c r="E118">
        <v>1</v>
      </c>
      <c r="F118">
        <v>1</v>
      </c>
      <c r="G118">
        <v>1</v>
      </c>
      <c r="H118">
        <v>2</v>
      </c>
      <c r="I118" t="s">
        <v>616</v>
      </c>
      <c r="J118" t="s">
        <v>617</v>
      </c>
      <c r="K118" t="s">
        <v>618</v>
      </c>
      <c r="L118">
        <v>1367</v>
      </c>
      <c r="N118">
        <v>1011</v>
      </c>
      <c r="O118" t="s">
        <v>612</v>
      </c>
      <c r="P118" t="s">
        <v>612</v>
      </c>
      <c r="Q118">
        <v>1</v>
      </c>
      <c r="W118">
        <v>0</v>
      </c>
      <c r="X118">
        <v>1385328552</v>
      </c>
      <c r="Y118">
        <v>0.75</v>
      </c>
      <c r="AA118">
        <v>0</v>
      </c>
      <c r="AB118">
        <v>12.39</v>
      </c>
      <c r="AC118">
        <v>10.06</v>
      </c>
      <c r="AD118">
        <v>0</v>
      </c>
      <c r="AE118">
        <v>0</v>
      </c>
      <c r="AF118">
        <v>12.39</v>
      </c>
      <c r="AG118">
        <v>10.06</v>
      </c>
      <c r="AH118">
        <v>0</v>
      </c>
      <c r="AI118">
        <v>1</v>
      </c>
      <c r="AJ118">
        <v>1</v>
      </c>
      <c r="AK118">
        <v>1</v>
      </c>
      <c r="AL118">
        <v>1</v>
      </c>
      <c r="AN118">
        <v>0</v>
      </c>
      <c r="AO118">
        <v>1</v>
      </c>
      <c r="AP118">
        <v>0</v>
      </c>
      <c r="AQ118">
        <v>0</v>
      </c>
      <c r="AR118">
        <v>0</v>
      </c>
      <c r="AS118" t="s">
        <v>2</v>
      </c>
      <c r="AT118">
        <v>0.75</v>
      </c>
      <c r="AU118" t="s">
        <v>2</v>
      </c>
      <c r="AV118">
        <v>0</v>
      </c>
      <c r="AW118">
        <v>2</v>
      </c>
      <c r="AX118">
        <v>224528203</v>
      </c>
      <c r="AY118">
        <v>1</v>
      </c>
      <c r="AZ118">
        <v>0</v>
      </c>
      <c r="BA118">
        <v>138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CX118">
        <f>Y118*Source!I164</f>
        <v>0.17924999999999999</v>
      </c>
      <c r="CY118">
        <f>AB118</f>
        <v>12.39</v>
      </c>
      <c r="CZ118">
        <f>AF118</f>
        <v>12.39</v>
      </c>
      <c r="DA118">
        <f>AJ118</f>
        <v>1</v>
      </c>
      <c r="DB118">
        <f t="shared" si="16"/>
        <v>9.2899999999999991</v>
      </c>
      <c r="DC118">
        <f t="shared" si="17"/>
        <v>7.55</v>
      </c>
    </row>
    <row r="119" spans="1:107" x14ac:dyDescent="0.2">
      <c r="A119">
        <f>ROW(Source!A164)</f>
        <v>164</v>
      </c>
      <c r="B119">
        <v>224527337</v>
      </c>
      <c r="C119">
        <v>224528192</v>
      </c>
      <c r="D119">
        <v>222908451</v>
      </c>
      <c r="E119">
        <v>1</v>
      </c>
      <c r="F119">
        <v>1</v>
      </c>
      <c r="G119">
        <v>1</v>
      </c>
      <c r="H119">
        <v>3</v>
      </c>
      <c r="I119" t="s">
        <v>619</v>
      </c>
      <c r="J119" t="s">
        <v>620</v>
      </c>
      <c r="K119" t="s">
        <v>621</v>
      </c>
      <c r="L119">
        <v>1339</v>
      </c>
      <c r="N119">
        <v>1007</v>
      </c>
      <c r="O119" t="s">
        <v>215</v>
      </c>
      <c r="P119" t="s">
        <v>215</v>
      </c>
      <c r="Q119">
        <v>1</v>
      </c>
      <c r="W119">
        <v>0</v>
      </c>
      <c r="X119">
        <v>-143474561</v>
      </c>
      <c r="Y119">
        <v>0.54300000000000004</v>
      </c>
      <c r="AA119">
        <v>2.44</v>
      </c>
      <c r="AB119">
        <v>0</v>
      </c>
      <c r="AC119">
        <v>0</v>
      </c>
      <c r="AD119">
        <v>0</v>
      </c>
      <c r="AE119">
        <v>2.44</v>
      </c>
      <c r="AF119">
        <v>0</v>
      </c>
      <c r="AG119">
        <v>0</v>
      </c>
      <c r="AH119">
        <v>0</v>
      </c>
      <c r="AI119">
        <v>1</v>
      </c>
      <c r="AJ119">
        <v>1</v>
      </c>
      <c r="AK119">
        <v>1</v>
      </c>
      <c r="AL119">
        <v>1</v>
      </c>
      <c r="AN119">
        <v>0</v>
      </c>
      <c r="AO119">
        <v>1</v>
      </c>
      <c r="AP119">
        <v>0</v>
      </c>
      <c r="AQ119">
        <v>0</v>
      </c>
      <c r="AR119">
        <v>0</v>
      </c>
      <c r="AS119" t="s">
        <v>2</v>
      </c>
      <c r="AT119">
        <v>0.54300000000000004</v>
      </c>
      <c r="AU119" t="s">
        <v>2</v>
      </c>
      <c r="AV119">
        <v>0</v>
      </c>
      <c r="AW119">
        <v>2</v>
      </c>
      <c r="AX119">
        <v>224528204</v>
      </c>
      <c r="AY119">
        <v>1</v>
      </c>
      <c r="AZ119">
        <v>0</v>
      </c>
      <c r="BA119">
        <v>139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CX119">
        <f>Y119*Source!I164</f>
        <v>0.129777</v>
      </c>
      <c r="CY119">
        <f>AA119</f>
        <v>2.44</v>
      </c>
      <c r="CZ119">
        <f>AE119</f>
        <v>2.44</v>
      </c>
      <c r="DA119">
        <f>AI119</f>
        <v>1</v>
      </c>
      <c r="DB119">
        <f t="shared" si="16"/>
        <v>1.32</v>
      </c>
      <c r="DC119">
        <f t="shared" si="17"/>
        <v>0</v>
      </c>
    </row>
    <row r="120" spans="1:107" x14ac:dyDescent="0.2">
      <c r="A120">
        <f>ROW(Source!A167)</f>
        <v>167</v>
      </c>
      <c r="B120">
        <v>224527337</v>
      </c>
      <c r="C120">
        <v>224528209</v>
      </c>
      <c r="D120">
        <v>222895971</v>
      </c>
      <c r="E120">
        <v>70</v>
      </c>
      <c r="F120">
        <v>1</v>
      </c>
      <c r="G120">
        <v>1</v>
      </c>
      <c r="H120">
        <v>1</v>
      </c>
      <c r="I120" t="s">
        <v>622</v>
      </c>
      <c r="J120" t="s">
        <v>2</v>
      </c>
      <c r="K120" t="s">
        <v>623</v>
      </c>
      <c r="L120">
        <v>1191</v>
      </c>
      <c r="N120">
        <v>74472246</v>
      </c>
      <c r="O120" t="s">
        <v>600</v>
      </c>
      <c r="P120" t="s">
        <v>600</v>
      </c>
      <c r="Q120">
        <v>1</v>
      </c>
      <c r="W120">
        <v>0</v>
      </c>
      <c r="X120">
        <v>-112797078</v>
      </c>
      <c r="Y120">
        <v>17.709999999999997</v>
      </c>
      <c r="AA120">
        <v>0</v>
      </c>
      <c r="AB120">
        <v>0</v>
      </c>
      <c r="AC120">
        <v>0</v>
      </c>
      <c r="AD120">
        <v>8.9700000000000006</v>
      </c>
      <c r="AE120">
        <v>0</v>
      </c>
      <c r="AF120">
        <v>0</v>
      </c>
      <c r="AG120">
        <v>0</v>
      </c>
      <c r="AH120">
        <v>8.9700000000000006</v>
      </c>
      <c r="AI120">
        <v>1</v>
      </c>
      <c r="AJ120">
        <v>1</v>
      </c>
      <c r="AK120">
        <v>1</v>
      </c>
      <c r="AL120">
        <v>1</v>
      </c>
      <c r="AN120">
        <v>0</v>
      </c>
      <c r="AO120">
        <v>1</v>
      </c>
      <c r="AP120">
        <v>1</v>
      </c>
      <c r="AQ120">
        <v>0</v>
      </c>
      <c r="AR120">
        <v>0</v>
      </c>
      <c r="AS120" t="s">
        <v>2</v>
      </c>
      <c r="AT120">
        <v>15.4</v>
      </c>
      <c r="AU120" t="s">
        <v>179</v>
      </c>
      <c r="AV120">
        <v>1</v>
      </c>
      <c r="AW120">
        <v>2</v>
      </c>
      <c r="AX120">
        <v>224528235</v>
      </c>
      <c r="AY120">
        <v>1</v>
      </c>
      <c r="AZ120">
        <v>0</v>
      </c>
      <c r="BA120">
        <v>142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CX120">
        <f>Y120*Source!I167</f>
        <v>4.232689999999999</v>
      </c>
      <c r="CY120">
        <f>AD120</f>
        <v>8.9700000000000006</v>
      </c>
      <c r="CZ120">
        <f>AH120</f>
        <v>8.9700000000000006</v>
      </c>
      <c r="DA120">
        <f>AL120</f>
        <v>1</v>
      </c>
      <c r="DB120">
        <f>ROUND((ROUND(AT120*CZ120,2)*1.15),2)</f>
        <v>158.86000000000001</v>
      </c>
      <c r="DC120">
        <f>ROUND((ROUND(AT120*AG120,2)*1.15),2)</f>
        <v>0</v>
      </c>
    </row>
    <row r="121" spans="1:107" x14ac:dyDescent="0.2">
      <c r="A121">
        <f>ROW(Source!A167)</f>
        <v>167</v>
      </c>
      <c r="B121">
        <v>224527337</v>
      </c>
      <c r="C121">
        <v>224528209</v>
      </c>
      <c r="D121">
        <v>222896153</v>
      </c>
      <c r="E121">
        <v>70</v>
      </c>
      <c r="F121">
        <v>1</v>
      </c>
      <c r="G121">
        <v>1</v>
      </c>
      <c r="H121">
        <v>1</v>
      </c>
      <c r="I121" t="s">
        <v>607</v>
      </c>
      <c r="J121" t="s">
        <v>2</v>
      </c>
      <c r="K121" t="s">
        <v>608</v>
      </c>
      <c r="L121">
        <v>1191</v>
      </c>
      <c r="N121">
        <v>74472246</v>
      </c>
      <c r="O121" t="s">
        <v>600</v>
      </c>
      <c r="P121" t="s">
        <v>600</v>
      </c>
      <c r="Q121">
        <v>1</v>
      </c>
      <c r="W121">
        <v>0</v>
      </c>
      <c r="X121">
        <v>-1417349443</v>
      </c>
      <c r="Y121">
        <v>0.125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1</v>
      </c>
      <c r="AJ121">
        <v>1</v>
      </c>
      <c r="AK121">
        <v>1</v>
      </c>
      <c r="AL121">
        <v>1</v>
      </c>
      <c r="AN121">
        <v>0</v>
      </c>
      <c r="AO121">
        <v>1</v>
      </c>
      <c r="AP121">
        <v>1</v>
      </c>
      <c r="AQ121">
        <v>0</v>
      </c>
      <c r="AR121">
        <v>0</v>
      </c>
      <c r="AS121" t="s">
        <v>2</v>
      </c>
      <c r="AT121">
        <v>0.1</v>
      </c>
      <c r="AU121" t="s">
        <v>266</v>
      </c>
      <c r="AV121">
        <v>2</v>
      </c>
      <c r="AW121">
        <v>2</v>
      </c>
      <c r="AX121">
        <v>224528236</v>
      </c>
      <c r="AY121">
        <v>1</v>
      </c>
      <c r="AZ121">
        <v>0</v>
      </c>
      <c r="BA121">
        <v>143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CX121">
        <f>Y121*Source!I167</f>
        <v>2.9874999999999999E-2</v>
      </c>
      <c r="CY121">
        <f>AD121</f>
        <v>0</v>
      </c>
      <c r="CZ121">
        <f>AH121</f>
        <v>0</v>
      </c>
      <c r="DA121">
        <f>AL121</f>
        <v>1</v>
      </c>
      <c r="DB121">
        <f>ROUND((ROUND(AT121*CZ121,2)*1.25),2)</f>
        <v>0</v>
      </c>
      <c r="DC121">
        <f>ROUND((ROUND(AT121*AG121,2)*1.25),2)</f>
        <v>0</v>
      </c>
    </row>
    <row r="122" spans="1:107" x14ac:dyDescent="0.2">
      <c r="A122">
        <f>ROW(Source!A167)</f>
        <v>167</v>
      </c>
      <c r="B122">
        <v>224527337</v>
      </c>
      <c r="C122">
        <v>224528209</v>
      </c>
      <c r="D122">
        <v>223058015</v>
      </c>
      <c r="E122">
        <v>1</v>
      </c>
      <c r="F122">
        <v>1</v>
      </c>
      <c r="G122">
        <v>1</v>
      </c>
      <c r="H122">
        <v>2</v>
      </c>
      <c r="I122" t="s">
        <v>613</v>
      </c>
      <c r="J122" t="s">
        <v>614</v>
      </c>
      <c r="K122" t="s">
        <v>615</v>
      </c>
      <c r="L122">
        <v>1367</v>
      </c>
      <c r="N122">
        <v>1011</v>
      </c>
      <c r="O122" t="s">
        <v>612</v>
      </c>
      <c r="P122" t="s">
        <v>612</v>
      </c>
      <c r="Q122">
        <v>1</v>
      </c>
      <c r="W122">
        <v>0</v>
      </c>
      <c r="X122">
        <v>1232162608</v>
      </c>
      <c r="Y122">
        <v>1.2500000000000001E-2</v>
      </c>
      <c r="AA122">
        <v>0</v>
      </c>
      <c r="AB122">
        <v>31.26</v>
      </c>
      <c r="AC122">
        <v>13.5</v>
      </c>
      <c r="AD122">
        <v>0</v>
      </c>
      <c r="AE122">
        <v>0</v>
      </c>
      <c r="AF122">
        <v>31.26</v>
      </c>
      <c r="AG122">
        <v>13.5</v>
      </c>
      <c r="AH122">
        <v>0</v>
      </c>
      <c r="AI122">
        <v>1</v>
      </c>
      <c r="AJ122">
        <v>1</v>
      </c>
      <c r="AK122">
        <v>1</v>
      </c>
      <c r="AL122">
        <v>1</v>
      </c>
      <c r="AN122">
        <v>0</v>
      </c>
      <c r="AO122">
        <v>1</v>
      </c>
      <c r="AP122">
        <v>1</v>
      </c>
      <c r="AQ122">
        <v>0</v>
      </c>
      <c r="AR122">
        <v>0</v>
      </c>
      <c r="AS122" t="s">
        <v>2</v>
      </c>
      <c r="AT122">
        <v>0.01</v>
      </c>
      <c r="AU122" t="s">
        <v>266</v>
      </c>
      <c r="AV122">
        <v>0</v>
      </c>
      <c r="AW122">
        <v>2</v>
      </c>
      <c r="AX122">
        <v>224528237</v>
      </c>
      <c r="AY122">
        <v>1</v>
      </c>
      <c r="AZ122">
        <v>0</v>
      </c>
      <c r="BA122">
        <v>144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CX122">
        <f>Y122*Source!I167</f>
        <v>2.9875000000000001E-3</v>
      </c>
      <c r="CY122">
        <f>AB122</f>
        <v>31.26</v>
      </c>
      <c r="CZ122">
        <f>AF122</f>
        <v>31.26</v>
      </c>
      <c r="DA122">
        <f>AJ122</f>
        <v>1</v>
      </c>
      <c r="DB122">
        <f>ROUND((ROUND(AT122*CZ122,2)*1.25),2)</f>
        <v>0.39</v>
      </c>
      <c r="DC122">
        <f>ROUND((ROUND(AT122*AG122,2)*1.25),2)</f>
        <v>0.18</v>
      </c>
    </row>
    <row r="123" spans="1:107" x14ac:dyDescent="0.2">
      <c r="A123">
        <f>ROW(Source!A167)</f>
        <v>167</v>
      </c>
      <c r="B123">
        <v>224527337</v>
      </c>
      <c r="C123">
        <v>224528209</v>
      </c>
      <c r="D123">
        <v>223058751</v>
      </c>
      <c r="E123">
        <v>1</v>
      </c>
      <c r="F123">
        <v>1</v>
      </c>
      <c r="G123">
        <v>1</v>
      </c>
      <c r="H123">
        <v>2</v>
      </c>
      <c r="I123" t="s">
        <v>624</v>
      </c>
      <c r="J123" t="s">
        <v>625</v>
      </c>
      <c r="K123" t="s">
        <v>626</v>
      </c>
      <c r="L123">
        <v>1367</v>
      </c>
      <c r="N123">
        <v>1011</v>
      </c>
      <c r="O123" t="s">
        <v>612</v>
      </c>
      <c r="P123" t="s">
        <v>612</v>
      </c>
      <c r="Q123">
        <v>1</v>
      </c>
      <c r="W123">
        <v>0</v>
      </c>
      <c r="X123">
        <v>509054691</v>
      </c>
      <c r="Y123">
        <v>0.11249999999999999</v>
      </c>
      <c r="AA123">
        <v>0</v>
      </c>
      <c r="AB123">
        <v>65.709999999999994</v>
      </c>
      <c r="AC123">
        <v>11.6</v>
      </c>
      <c r="AD123">
        <v>0</v>
      </c>
      <c r="AE123">
        <v>0</v>
      </c>
      <c r="AF123">
        <v>65.709999999999994</v>
      </c>
      <c r="AG123">
        <v>11.6</v>
      </c>
      <c r="AH123">
        <v>0</v>
      </c>
      <c r="AI123">
        <v>1</v>
      </c>
      <c r="AJ123">
        <v>1</v>
      </c>
      <c r="AK123">
        <v>1</v>
      </c>
      <c r="AL123">
        <v>1</v>
      </c>
      <c r="AN123">
        <v>0</v>
      </c>
      <c r="AO123">
        <v>1</v>
      </c>
      <c r="AP123">
        <v>1</v>
      </c>
      <c r="AQ123">
        <v>0</v>
      </c>
      <c r="AR123">
        <v>0</v>
      </c>
      <c r="AS123" t="s">
        <v>2</v>
      </c>
      <c r="AT123">
        <v>0.09</v>
      </c>
      <c r="AU123" t="s">
        <v>266</v>
      </c>
      <c r="AV123">
        <v>0</v>
      </c>
      <c r="AW123">
        <v>2</v>
      </c>
      <c r="AX123">
        <v>224528238</v>
      </c>
      <c r="AY123">
        <v>1</v>
      </c>
      <c r="AZ123">
        <v>0</v>
      </c>
      <c r="BA123">
        <v>145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CX123">
        <f>Y123*Source!I167</f>
        <v>2.6887499999999995E-2</v>
      </c>
      <c r="CY123">
        <f>AB123</f>
        <v>65.709999999999994</v>
      </c>
      <c r="CZ123">
        <f>AF123</f>
        <v>65.709999999999994</v>
      </c>
      <c r="DA123">
        <f>AJ123</f>
        <v>1</v>
      </c>
      <c r="DB123">
        <f>ROUND((ROUND(AT123*CZ123,2)*1.25),2)</f>
        <v>7.39</v>
      </c>
      <c r="DC123">
        <f>ROUND((ROUND(AT123*AG123,2)*1.25),2)</f>
        <v>1.3</v>
      </c>
    </row>
    <row r="124" spans="1:107" x14ac:dyDescent="0.2">
      <c r="A124">
        <f>ROW(Source!A167)</f>
        <v>167</v>
      </c>
      <c r="B124">
        <v>224527337</v>
      </c>
      <c r="C124">
        <v>224528209</v>
      </c>
      <c r="D124">
        <v>222911579</v>
      </c>
      <c r="E124">
        <v>1</v>
      </c>
      <c r="F124">
        <v>1</v>
      </c>
      <c r="G124">
        <v>1</v>
      </c>
      <c r="H124">
        <v>3</v>
      </c>
      <c r="I124" t="s">
        <v>627</v>
      </c>
      <c r="J124" t="s">
        <v>628</v>
      </c>
      <c r="K124" t="s">
        <v>629</v>
      </c>
      <c r="L124">
        <v>1327</v>
      </c>
      <c r="N124">
        <v>1005</v>
      </c>
      <c r="O124" t="s">
        <v>73</v>
      </c>
      <c r="P124" t="s">
        <v>73</v>
      </c>
      <c r="Q124">
        <v>1</v>
      </c>
      <c r="W124">
        <v>0</v>
      </c>
      <c r="X124">
        <v>105551837</v>
      </c>
      <c r="Y124">
        <v>0.33</v>
      </c>
      <c r="AA124">
        <v>72.319999999999993</v>
      </c>
      <c r="AB124">
        <v>0</v>
      </c>
      <c r="AC124">
        <v>0</v>
      </c>
      <c r="AD124">
        <v>0</v>
      </c>
      <c r="AE124">
        <v>72.319999999999993</v>
      </c>
      <c r="AF124">
        <v>0</v>
      </c>
      <c r="AG124">
        <v>0</v>
      </c>
      <c r="AH124">
        <v>0</v>
      </c>
      <c r="AI124">
        <v>1</v>
      </c>
      <c r="AJ124">
        <v>1</v>
      </c>
      <c r="AK124">
        <v>1</v>
      </c>
      <c r="AL124">
        <v>1</v>
      </c>
      <c r="AN124">
        <v>0</v>
      </c>
      <c r="AO124">
        <v>1</v>
      </c>
      <c r="AP124">
        <v>0</v>
      </c>
      <c r="AQ124">
        <v>0</v>
      </c>
      <c r="AR124">
        <v>0</v>
      </c>
      <c r="AS124" t="s">
        <v>2</v>
      </c>
      <c r="AT124">
        <v>0.33</v>
      </c>
      <c r="AU124" t="s">
        <v>2</v>
      </c>
      <c r="AV124">
        <v>0</v>
      </c>
      <c r="AW124">
        <v>2</v>
      </c>
      <c r="AX124">
        <v>224528239</v>
      </c>
      <c r="AY124">
        <v>1</v>
      </c>
      <c r="AZ124">
        <v>0</v>
      </c>
      <c r="BA124">
        <v>146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CX124">
        <f>Y124*Source!I167</f>
        <v>7.8869999999999996E-2</v>
      </c>
      <c r="CY124">
        <f>AA124</f>
        <v>72.319999999999993</v>
      </c>
      <c r="CZ124">
        <f>AE124</f>
        <v>72.319999999999993</v>
      </c>
      <c r="DA124">
        <f>AI124</f>
        <v>1</v>
      </c>
      <c r="DB124">
        <f>ROUND(ROUND(AT124*CZ124,2),2)</f>
        <v>23.87</v>
      </c>
      <c r="DC124">
        <f>ROUND(ROUND(AT124*AG124,2),2)</f>
        <v>0</v>
      </c>
    </row>
    <row r="125" spans="1:107" x14ac:dyDescent="0.2">
      <c r="A125">
        <f>ROW(Source!A167)</f>
        <v>167</v>
      </c>
      <c r="B125">
        <v>224527337</v>
      </c>
      <c r="C125">
        <v>224528209</v>
      </c>
      <c r="D125">
        <v>222911928</v>
      </c>
      <c r="E125">
        <v>1</v>
      </c>
      <c r="F125">
        <v>1</v>
      </c>
      <c r="G125">
        <v>1</v>
      </c>
      <c r="H125">
        <v>3</v>
      </c>
      <c r="I125" t="s">
        <v>630</v>
      </c>
      <c r="J125" t="s">
        <v>631</v>
      </c>
      <c r="K125" t="s">
        <v>632</v>
      </c>
      <c r="L125">
        <v>1346</v>
      </c>
      <c r="N125">
        <v>1009</v>
      </c>
      <c r="O125" t="s">
        <v>33</v>
      </c>
      <c r="P125" t="s">
        <v>33</v>
      </c>
      <c r="Q125">
        <v>1</v>
      </c>
      <c r="W125">
        <v>0</v>
      </c>
      <c r="X125">
        <v>1052716416</v>
      </c>
      <c r="Y125">
        <v>0.11</v>
      </c>
      <c r="AA125">
        <v>1.82</v>
      </c>
      <c r="AB125">
        <v>0</v>
      </c>
      <c r="AC125">
        <v>0</v>
      </c>
      <c r="AD125">
        <v>0</v>
      </c>
      <c r="AE125">
        <v>1.82</v>
      </c>
      <c r="AF125">
        <v>0</v>
      </c>
      <c r="AG125">
        <v>0</v>
      </c>
      <c r="AH125">
        <v>0</v>
      </c>
      <c r="AI125">
        <v>1</v>
      </c>
      <c r="AJ125">
        <v>1</v>
      </c>
      <c r="AK125">
        <v>1</v>
      </c>
      <c r="AL125">
        <v>1</v>
      </c>
      <c r="AN125">
        <v>0</v>
      </c>
      <c r="AO125">
        <v>1</v>
      </c>
      <c r="AP125">
        <v>0</v>
      </c>
      <c r="AQ125">
        <v>0</v>
      </c>
      <c r="AR125">
        <v>0</v>
      </c>
      <c r="AS125" t="s">
        <v>2</v>
      </c>
      <c r="AT125">
        <v>0.11</v>
      </c>
      <c r="AU125" t="s">
        <v>2</v>
      </c>
      <c r="AV125">
        <v>0</v>
      </c>
      <c r="AW125">
        <v>2</v>
      </c>
      <c r="AX125">
        <v>224528240</v>
      </c>
      <c r="AY125">
        <v>1</v>
      </c>
      <c r="AZ125">
        <v>0</v>
      </c>
      <c r="BA125">
        <v>147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CX125">
        <f>Y125*Source!I167</f>
        <v>2.6289999999999997E-2</v>
      </c>
      <c r="CY125">
        <f>AA125</f>
        <v>1.82</v>
      </c>
      <c r="CZ125">
        <f>AE125</f>
        <v>1.82</v>
      </c>
      <c r="DA125">
        <f>AI125</f>
        <v>1</v>
      </c>
      <c r="DB125">
        <f>ROUND(ROUND(AT125*CZ125,2),2)</f>
        <v>0.2</v>
      </c>
      <c r="DC125">
        <f>ROUND(ROUND(AT125*AG125,2),2)</f>
        <v>0</v>
      </c>
    </row>
    <row r="126" spans="1:107" x14ac:dyDescent="0.2">
      <c r="A126">
        <f>ROW(Source!A167)</f>
        <v>167</v>
      </c>
      <c r="B126">
        <v>224527337</v>
      </c>
      <c r="C126">
        <v>224528209</v>
      </c>
      <c r="D126">
        <v>222940670</v>
      </c>
      <c r="E126">
        <v>1</v>
      </c>
      <c r="F126">
        <v>1</v>
      </c>
      <c r="G126">
        <v>1</v>
      </c>
      <c r="H126">
        <v>3</v>
      </c>
      <c r="I126" t="s">
        <v>633</v>
      </c>
      <c r="J126" t="s">
        <v>634</v>
      </c>
      <c r="K126" t="s">
        <v>635</v>
      </c>
      <c r="L126">
        <v>1348</v>
      </c>
      <c r="N126">
        <v>1009</v>
      </c>
      <c r="O126" t="s">
        <v>18</v>
      </c>
      <c r="P126" t="s">
        <v>18</v>
      </c>
      <c r="Q126">
        <v>1000</v>
      </c>
      <c r="W126">
        <v>0</v>
      </c>
      <c r="X126">
        <v>-1516654830</v>
      </c>
      <c r="Y126">
        <v>5.4999999999999997E-3</v>
      </c>
      <c r="AA126">
        <v>4294</v>
      </c>
      <c r="AB126">
        <v>0</v>
      </c>
      <c r="AC126">
        <v>0</v>
      </c>
      <c r="AD126">
        <v>0</v>
      </c>
      <c r="AE126">
        <v>4294</v>
      </c>
      <c r="AF126">
        <v>0</v>
      </c>
      <c r="AG126">
        <v>0</v>
      </c>
      <c r="AH126">
        <v>0</v>
      </c>
      <c r="AI126">
        <v>1</v>
      </c>
      <c r="AJ126">
        <v>1</v>
      </c>
      <c r="AK126">
        <v>1</v>
      </c>
      <c r="AL126">
        <v>1</v>
      </c>
      <c r="AN126">
        <v>0</v>
      </c>
      <c r="AO126">
        <v>1</v>
      </c>
      <c r="AP126">
        <v>0</v>
      </c>
      <c r="AQ126">
        <v>0</v>
      </c>
      <c r="AR126">
        <v>0</v>
      </c>
      <c r="AS126" t="s">
        <v>2</v>
      </c>
      <c r="AT126">
        <v>5.4999999999999997E-3</v>
      </c>
      <c r="AU126" t="s">
        <v>2</v>
      </c>
      <c r="AV126">
        <v>0</v>
      </c>
      <c r="AW126">
        <v>2</v>
      </c>
      <c r="AX126">
        <v>224528242</v>
      </c>
      <c r="AY126">
        <v>1</v>
      </c>
      <c r="AZ126">
        <v>0</v>
      </c>
      <c r="BA126">
        <v>149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CX126">
        <f>Y126*Source!I167</f>
        <v>1.3144999999999999E-3</v>
      </c>
      <c r="CY126">
        <f>AA126</f>
        <v>4294</v>
      </c>
      <c r="CZ126">
        <f>AE126</f>
        <v>4294</v>
      </c>
      <c r="DA126">
        <f>AI126</f>
        <v>1</v>
      </c>
      <c r="DB126">
        <f>ROUND(ROUND(AT126*CZ126,2),2)</f>
        <v>23.62</v>
      </c>
      <c r="DC126">
        <f>ROUND(ROUND(AT126*AG126,2),2)</f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49"/>
  <sheetViews>
    <sheetView workbookViewId="0">
      <selection activeCell="G13" sqref="G13"/>
    </sheetView>
  </sheetViews>
  <sheetFormatPr defaultColWidth="9.140625" defaultRowHeight="12.75" x14ac:dyDescent="0.2"/>
  <cols>
    <col min="1" max="256" width="9.140625" customWidth="1"/>
  </cols>
  <sheetData>
    <row r="1" spans="1:44" x14ac:dyDescent="0.2">
      <c r="A1">
        <f>ROW(Source!A28)</f>
        <v>28</v>
      </c>
      <c r="B1">
        <v>224527559</v>
      </c>
      <c r="C1">
        <v>224527558</v>
      </c>
      <c r="D1">
        <v>222895881</v>
      </c>
      <c r="E1">
        <v>70</v>
      </c>
      <c r="F1">
        <v>1</v>
      </c>
      <c r="G1">
        <v>1</v>
      </c>
      <c r="H1">
        <v>1</v>
      </c>
      <c r="I1" t="s">
        <v>598</v>
      </c>
      <c r="J1" t="s">
        <v>2</v>
      </c>
      <c r="K1" t="s">
        <v>599</v>
      </c>
      <c r="L1">
        <v>1191</v>
      </c>
      <c r="N1">
        <v>74472246</v>
      </c>
      <c r="O1" t="s">
        <v>600</v>
      </c>
      <c r="P1" t="s">
        <v>600</v>
      </c>
      <c r="Q1">
        <v>1</v>
      </c>
      <c r="X1">
        <v>1.03</v>
      </c>
      <c r="Y1">
        <v>0</v>
      </c>
      <c r="Z1">
        <v>0</v>
      </c>
      <c r="AA1">
        <v>0</v>
      </c>
      <c r="AB1">
        <v>7.19</v>
      </c>
      <c r="AC1">
        <v>0</v>
      </c>
      <c r="AD1">
        <v>1</v>
      </c>
      <c r="AE1">
        <v>1</v>
      </c>
      <c r="AF1" t="s">
        <v>2</v>
      </c>
      <c r="AG1">
        <v>1.03</v>
      </c>
      <c r="AH1">
        <v>2</v>
      </c>
      <c r="AI1">
        <v>224527559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">
      <c r="A2">
        <f>ROW(Source!A28)</f>
        <v>28</v>
      </c>
      <c r="B2">
        <v>224527560</v>
      </c>
      <c r="C2">
        <v>224527558</v>
      </c>
      <c r="D2">
        <v>222911895</v>
      </c>
      <c r="E2">
        <v>1</v>
      </c>
      <c r="F2">
        <v>1</v>
      </c>
      <c r="G2">
        <v>1</v>
      </c>
      <c r="H2">
        <v>3</v>
      </c>
      <c r="I2" t="s">
        <v>601</v>
      </c>
      <c r="J2" t="s">
        <v>602</v>
      </c>
      <c r="K2" t="s">
        <v>603</v>
      </c>
      <c r="L2">
        <v>1425</v>
      </c>
      <c r="N2">
        <v>74472246</v>
      </c>
      <c r="O2" t="s">
        <v>604</v>
      </c>
      <c r="P2" t="s">
        <v>604</v>
      </c>
      <c r="Q2">
        <v>1</v>
      </c>
      <c r="X2">
        <v>0.2</v>
      </c>
      <c r="Y2">
        <v>82</v>
      </c>
      <c r="Z2">
        <v>0</v>
      </c>
      <c r="AA2">
        <v>0</v>
      </c>
      <c r="AB2">
        <v>0</v>
      </c>
      <c r="AC2">
        <v>0</v>
      </c>
      <c r="AD2">
        <v>1</v>
      </c>
      <c r="AE2">
        <v>0</v>
      </c>
      <c r="AF2" t="s">
        <v>2</v>
      </c>
      <c r="AG2">
        <v>0.2</v>
      </c>
      <c r="AH2">
        <v>2</v>
      </c>
      <c r="AI2">
        <v>224527560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">
      <c r="A3">
        <f>ROW(Source!A29)</f>
        <v>29</v>
      </c>
      <c r="B3">
        <v>224527562</v>
      </c>
      <c r="C3">
        <v>224527561</v>
      </c>
      <c r="D3">
        <v>222895959</v>
      </c>
      <c r="E3">
        <v>70</v>
      </c>
      <c r="F3">
        <v>1</v>
      </c>
      <c r="G3">
        <v>1</v>
      </c>
      <c r="H3">
        <v>1</v>
      </c>
      <c r="I3" t="s">
        <v>605</v>
      </c>
      <c r="J3" t="s">
        <v>2</v>
      </c>
      <c r="K3" t="s">
        <v>606</v>
      </c>
      <c r="L3">
        <v>1191</v>
      </c>
      <c r="N3">
        <v>74472246</v>
      </c>
      <c r="O3" t="s">
        <v>600</v>
      </c>
      <c r="P3" t="s">
        <v>600</v>
      </c>
      <c r="Q3">
        <v>1</v>
      </c>
      <c r="X3">
        <v>42.01</v>
      </c>
      <c r="Y3">
        <v>0</v>
      </c>
      <c r="Z3">
        <v>0</v>
      </c>
      <c r="AA3">
        <v>0</v>
      </c>
      <c r="AB3">
        <v>8.4600000000000009</v>
      </c>
      <c r="AC3">
        <v>0</v>
      </c>
      <c r="AD3">
        <v>1</v>
      </c>
      <c r="AE3">
        <v>1</v>
      </c>
      <c r="AF3" t="s">
        <v>2</v>
      </c>
      <c r="AG3">
        <v>42.01</v>
      </c>
      <c r="AH3">
        <v>2</v>
      </c>
      <c r="AI3">
        <v>224527562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">
      <c r="A4">
        <f>ROW(Source!A29)</f>
        <v>29</v>
      </c>
      <c r="B4">
        <v>224527563</v>
      </c>
      <c r="C4">
        <v>224527561</v>
      </c>
      <c r="D4">
        <v>222896153</v>
      </c>
      <c r="E4">
        <v>70</v>
      </c>
      <c r="F4">
        <v>1</v>
      </c>
      <c r="G4">
        <v>1</v>
      </c>
      <c r="H4">
        <v>1</v>
      </c>
      <c r="I4" t="s">
        <v>607</v>
      </c>
      <c r="J4" t="s">
        <v>2</v>
      </c>
      <c r="K4" t="s">
        <v>608</v>
      </c>
      <c r="L4">
        <v>1191</v>
      </c>
      <c r="N4">
        <v>74472246</v>
      </c>
      <c r="O4" t="s">
        <v>600</v>
      </c>
      <c r="P4" t="s">
        <v>600</v>
      </c>
      <c r="Q4">
        <v>1</v>
      </c>
      <c r="X4">
        <v>0.99</v>
      </c>
      <c r="Y4">
        <v>0</v>
      </c>
      <c r="Z4">
        <v>0</v>
      </c>
      <c r="AA4">
        <v>0</v>
      </c>
      <c r="AB4">
        <v>0</v>
      </c>
      <c r="AC4">
        <v>0</v>
      </c>
      <c r="AD4">
        <v>1</v>
      </c>
      <c r="AE4">
        <v>2</v>
      </c>
      <c r="AF4" t="s">
        <v>2</v>
      </c>
      <c r="AG4">
        <v>0.99</v>
      </c>
      <c r="AH4">
        <v>2</v>
      </c>
      <c r="AI4">
        <v>224527563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">
      <c r="A5">
        <f>ROW(Source!A29)</f>
        <v>29</v>
      </c>
      <c r="B5">
        <v>224527564</v>
      </c>
      <c r="C5">
        <v>224527561</v>
      </c>
      <c r="D5">
        <v>223057975</v>
      </c>
      <c r="E5">
        <v>1</v>
      </c>
      <c r="F5">
        <v>1</v>
      </c>
      <c r="G5">
        <v>1</v>
      </c>
      <c r="H5">
        <v>2</v>
      </c>
      <c r="I5" t="s">
        <v>609</v>
      </c>
      <c r="J5" t="s">
        <v>610</v>
      </c>
      <c r="K5" t="s">
        <v>611</v>
      </c>
      <c r="L5">
        <v>1367</v>
      </c>
      <c r="N5">
        <v>1011</v>
      </c>
      <c r="O5" t="s">
        <v>612</v>
      </c>
      <c r="P5" t="s">
        <v>612</v>
      </c>
      <c r="Q5">
        <v>1</v>
      </c>
      <c r="X5">
        <v>0.02</v>
      </c>
      <c r="Y5">
        <v>0</v>
      </c>
      <c r="Z5">
        <v>89.99</v>
      </c>
      <c r="AA5">
        <v>10.06</v>
      </c>
      <c r="AB5">
        <v>0</v>
      </c>
      <c r="AC5">
        <v>0</v>
      </c>
      <c r="AD5">
        <v>1</v>
      </c>
      <c r="AE5">
        <v>0</v>
      </c>
      <c r="AF5" t="s">
        <v>2</v>
      </c>
      <c r="AG5">
        <v>0.02</v>
      </c>
      <c r="AH5">
        <v>2</v>
      </c>
      <c r="AI5">
        <v>224527564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2">
      <c r="A6">
        <f>ROW(Source!A29)</f>
        <v>29</v>
      </c>
      <c r="B6">
        <v>224527565</v>
      </c>
      <c r="C6">
        <v>224527561</v>
      </c>
      <c r="D6">
        <v>223058015</v>
      </c>
      <c r="E6">
        <v>1</v>
      </c>
      <c r="F6">
        <v>1</v>
      </c>
      <c r="G6">
        <v>1</v>
      </c>
      <c r="H6">
        <v>2</v>
      </c>
      <c r="I6" t="s">
        <v>613</v>
      </c>
      <c r="J6" t="s">
        <v>614</v>
      </c>
      <c r="K6" t="s">
        <v>615</v>
      </c>
      <c r="L6">
        <v>1367</v>
      </c>
      <c r="N6">
        <v>1011</v>
      </c>
      <c r="O6" t="s">
        <v>612</v>
      </c>
      <c r="P6" t="s">
        <v>612</v>
      </c>
      <c r="Q6">
        <v>1</v>
      </c>
      <c r="X6">
        <v>0.22</v>
      </c>
      <c r="Y6">
        <v>0</v>
      </c>
      <c r="Z6">
        <v>31.26</v>
      </c>
      <c r="AA6">
        <v>13.5</v>
      </c>
      <c r="AB6">
        <v>0</v>
      </c>
      <c r="AC6">
        <v>0</v>
      </c>
      <c r="AD6">
        <v>1</v>
      </c>
      <c r="AE6">
        <v>0</v>
      </c>
      <c r="AF6" t="s">
        <v>2</v>
      </c>
      <c r="AG6">
        <v>0.22</v>
      </c>
      <c r="AH6">
        <v>2</v>
      </c>
      <c r="AI6">
        <v>224527565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2">
      <c r="A7">
        <f>ROW(Source!A29)</f>
        <v>29</v>
      </c>
      <c r="B7">
        <v>224527566</v>
      </c>
      <c r="C7">
        <v>224527561</v>
      </c>
      <c r="D7">
        <v>223058138</v>
      </c>
      <c r="E7">
        <v>1</v>
      </c>
      <c r="F7">
        <v>1</v>
      </c>
      <c r="G7">
        <v>1</v>
      </c>
      <c r="H7">
        <v>2</v>
      </c>
      <c r="I7" t="s">
        <v>616</v>
      </c>
      <c r="J7" t="s">
        <v>617</v>
      </c>
      <c r="K7" t="s">
        <v>618</v>
      </c>
      <c r="L7">
        <v>1367</v>
      </c>
      <c r="N7">
        <v>1011</v>
      </c>
      <c r="O7" t="s">
        <v>612</v>
      </c>
      <c r="P7" t="s">
        <v>612</v>
      </c>
      <c r="Q7">
        <v>1</v>
      </c>
      <c r="X7">
        <v>0.75</v>
      </c>
      <c r="Y7">
        <v>0</v>
      </c>
      <c r="Z7">
        <v>12.39</v>
      </c>
      <c r="AA7">
        <v>10.06</v>
      </c>
      <c r="AB7">
        <v>0</v>
      </c>
      <c r="AC7">
        <v>0</v>
      </c>
      <c r="AD7">
        <v>1</v>
      </c>
      <c r="AE7">
        <v>0</v>
      </c>
      <c r="AF7" t="s">
        <v>2</v>
      </c>
      <c r="AG7">
        <v>0.75</v>
      </c>
      <c r="AH7">
        <v>2</v>
      </c>
      <c r="AI7">
        <v>224527566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">
      <c r="A8">
        <f>ROW(Source!A29)</f>
        <v>29</v>
      </c>
      <c r="B8">
        <v>224527567</v>
      </c>
      <c r="C8">
        <v>224527561</v>
      </c>
      <c r="D8">
        <v>222908451</v>
      </c>
      <c r="E8">
        <v>1</v>
      </c>
      <c r="F8">
        <v>1</v>
      </c>
      <c r="G8">
        <v>1</v>
      </c>
      <c r="H8">
        <v>3</v>
      </c>
      <c r="I8" t="s">
        <v>619</v>
      </c>
      <c r="J8" t="s">
        <v>620</v>
      </c>
      <c r="K8" t="s">
        <v>621</v>
      </c>
      <c r="L8">
        <v>1339</v>
      </c>
      <c r="N8">
        <v>1007</v>
      </c>
      <c r="O8" t="s">
        <v>215</v>
      </c>
      <c r="P8" t="s">
        <v>215</v>
      </c>
      <c r="Q8">
        <v>1</v>
      </c>
      <c r="X8">
        <v>0.54300000000000004</v>
      </c>
      <c r="Y8">
        <v>2.44</v>
      </c>
      <c r="Z8">
        <v>0</v>
      </c>
      <c r="AA8">
        <v>0</v>
      </c>
      <c r="AB8">
        <v>0</v>
      </c>
      <c r="AC8">
        <v>0</v>
      </c>
      <c r="AD8">
        <v>1</v>
      </c>
      <c r="AE8">
        <v>0</v>
      </c>
      <c r="AF8" t="s">
        <v>2</v>
      </c>
      <c r="AG8">
        <v>0.54300000000000004</v>
      </c>
      <c r="AH8">
        <v>2</v>
      </c>
      <c r="AI8">
        <v>224527567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">
      <c r="A9">
        <f>ROW(Source!A29)</f>
        <v>29</v>
      </c>
      <c r="B9">
        <v>224527568</v>
      </c>
      <c r="C9">
        <v>224527561</v>
      </c>
      <c r="D9">
        <v>222897076</v>
      </c>
      <c r="E9">
        <v>70</v>
      </c>
      <c r="F9">
        <v>1</v>
      </c>
      <c r="G9">
        <v>1</v>
      </c>
      <c r="H9">
        <v>3</v>
      </c>
      <c r="I9" t="s">
        <v>764</v>
      </c>
      <c r="J9" t="s">
        <v>2</v>
      </c>
      <c r="K9" t="s">
        <v>765</v>
      </c>
      <c r="L9">
        <v>1348</v>
      </c>
      <c r="N9">
        <v>1009</v>
      </c>
      <c r="O9" t="s">
        <v>18</v>
      </c>
      <c r="P9" t="s">
        <v>18</v>
      </c>
      <c r="Q9">
        <v>1000</v>
      </c>
      <c r="X9">
        <v>0.90700000000000003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 t="s">
        <v>2</v>
      </c>
      <c r="AG9">
        <v>0.90700000000000003</v>
      </c>
      <c r="AH9">
        <v>3</v>
      </c>
      <c r="AI9">
        <v>-1</v>
      </c>
      <c r="AJ9" t="s">
        <v>2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 x14ac:dyDescent="0.2">
      <c r="A10">
        <f>ROW(Source!A29)</f>
        <v>29</v>
      </c>
      <c r="B10">
        <v>224527569</v>
      </c>
      <c r="C10">
        <v>224527561</v>
      </c>
      <c r="D10">
        <v>222899165</v>
      </c>
      <c r="E10">
        <v>70</v>
      </c>
      <c r="F10">
        <v>1</v>
      </c>
      <c r="G10">
        <v>1</v>
      </c>
      <c r="H10">
        <v>3</v>
      </c>
      <c r="I10" t="s">
        <v>766</v>
      </c>
      <c r="J10" t="s">
        <v>2</v>
      </c>
      <c r="K10" t="s">
        <v>767</v>
      </c>
      <c r="L10">
        <v>1348</v>
      </c>
      <c r="N10">
        <v>1009</v>
      </c>
      <c r="O10" t="s">
        <v>18</v>
      </c>
      <c r="P10" t="s">
        <v>18</v>
      </c>
      <c r="Q10">
        <v>1000</v>
      </c>
      <c r="X10">
        <v>0</v>
      </c>
      <c r="Y10">
        <v>0</v>
      </c>
      <c r="Z10">
        <v>0</v>
      </c>
      <c r="AA10">
        <v>0</v>
      </c>
      <c r="AB10">
        <v>0</v>
      </c>
      <c r="AC10">
        <v>1</v>
      </c>
      <c r="AD10">
        <v>0</v>
      </c>
      <c r="AE10">
        <v>0</v>
      </c>
      <c r="AF10" t="s">
        <v>2</v>
      </c>
      <c r="AG10">
        <v>0</v>
      </c>
      <c r="AH10">
        <v>3</v>
      </c>
      <c r="AI10">
        <v>-1</v>
      </c>
      <c r="AJ10" t="s">
        <v>2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 x14ac:dyDescent="0.2">
      <c r="A11">
        <f>ROW(Source!A32)</f>
        <v>32</v>
      </c>
      <c r="B11">
        <v>224527698</v>
      </c>
      <c r="C11">
        <v>224527650</v>
      </c>
      <c r="D11">
        <v>222895971</v>
      </c>
      <c r="E11">
        <v>70</v>
      </c>
      <c r="F11">
        <v>1</v>
      </c>
      <c r="G11">
        <v>1</v>
      </c>
      <c r="H11">
        <v>1</v>
      </c>
      <c r="I11" t="s">
        <v>622</v>
      </c>
      <c r="J11" t="s">
        <v>2</v>
      </c>
      <c r="K11" t="s">
        <v>623</v>
      </c>
      <c r="L11">
        <v>1191</v>
      </c>
      <c r="N11">
        <v>74472246</v>
      </c>
      <c r="O11" t="s">
        <v>600</v>
      </c>
      <c r="P11" t="s">
        <v>600</v>
      </c>
      <c r="Q11">
        <v>1</v>
      </c>
      <c r="X11">
        <v>23.1</v>
      </c>
      <c r="Y11">
        <v>0</v>
      </c>
      <c r="Z11">
        <v>0</v>
      </c>
      <c r="AA11">
        <v>0</v>
      </c>
      <c r="AB11">
        <v>8.9700000000000006</v>
      </c>
      <c r="AC11">
        <v>0</v>
      </c>
      <c r="AD11">
        <v>1</v>
      </c>
      <c r="AE11">
        <v>1</v>
      </c>
      <c r="AF11" t="s">
        <v>46</v>
      </c>
      <c r="AG11">
        <v>27.720000000000002</v>
      </c>
      <c r="AH11">
        <v>2</v>
      </c>
      <c r="AI11">
        <v>224527698</v>
      </c>
      <c r="AJ11">
        <v>9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 x14ac:dyDescent="0.2">
      <c r="A12">
        <f>ROW(Source!A32)</f>
        <v>32</v>
      </c>
      <c r="B12">
        <v>224527699</v>
      </c>
      <c r="C12">
        <v>224527650</v>
      </c>
      <c r="D12">
        <v>222896153</v>
      </c>
      <c r="E12">
        <v>70</v>
      </c>
      <c r="F12">
        <v>1</v>
      </c>
      <c r="G12">
        <v>1</v>
      </c>
      <c r="H12">
        <v>1</v>
      </c>
      <c r="I12" t="s">
        <v>607</v>
      </c>
      <c r="J12" t="s">
        <v>2</v>
      </c>
      <c r="K12" t="s">
        <v>608</v>
      </c>
      <c r="L12">
        <v>1191</v>
      </c>
      <c r="N12">
        <v>74472246</v>
      </c>
      <c r="O12" t="s">
        <v>600</v>
      </c>
      <c r="P12" t="s">
        <v>600</v>
      </c>
      <c r="Q12">
        <v>1</v>
      </c>
      <c r="X12">
        <v>0.11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2</v>
      </c>
      <c r="AF12" t="s">
        <v>46</v>
      </c>
      <c r="AG12">
        <v>0.13200000000000001</v>
      </c>
      <c r="AH12">
        <v>2</v>
      </c>
      <c r="AI12">
        <v>224527699</v>
      </c>
      <c r="AJ12">
        <v>10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 x14ac:dyDescent="0.2">
      <c r="A13">
        <f>ROW(Source!A32)</f>
        <v>32</v>
      </c>
      <c r="B13">
        <v>224527700</v>
      </c>
      <c r="C13">
        <v>224527650</v>
      </c>
      <c r="D13">
        <v>223058015</v>
      </c>
      <c r="E13">
        <v>1</v>
      </c>
      <c r="F13">
        <v>1</v>
      </c>
      <c r="G13">
        <v>1</v>
      </c>
      <c r="H13">
        <v>2</v>
      </c>
      <c r="I13" t="s">
        <v>613</v>
      </c>
      <c r="J13" t="s">
        <v>614</v>
      </c>
      <c r="K13" t="s">
        <v>615</v>
      </c>
      <c r="L13">
        <v>1367</v>
      </c>
      <c r="N13">
        <v>1011</v>
      </c>
      <c r="O13" t="s">
        <v>612</v>
      </c>
      <c r="P13" t="s">
        <v>612</v>
      </c>
      <c r="Q13">
        <v>1</v>
      </c>
      <c r="X13">
        <v>0.01</v>
      </c>
      <c r="Y13">
        <v>0</v>
      </c>
      <c r="Z13">
        <v>31.26</v>
      </c>
      <c r="AA13">
        <v>13.5</v>
      </c>
      <c r="AB13">
        <v>0</v>
      </c>
      <c r="AC13">
        <v>0</v>
      </c>
      <c r="AD13">
        <v>1</v>
      </c>
      <c r="AE13">
        <v>0</v>
      </c>
      <c r="AF13" t="s">
        <v>46</v>
      </c>
      <c r="AG13">
        <v>1.2E-2</v>
      </c>
      <c r="AH13">
        <v>2</v>
      </c>
      <c r="AI13">
        <v>224527700</v>
      </c>
      <c r="AJ13">
        <v>11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 x14ac:dyDescent="0.2">
      <c r="A14">
        <f>ROW(Source!A32)</f>
        <v>32</v>
      </c>
      <c r="B14">
        <v>224527701</v>
      </c>
      <c r="C14">
        <v>224527650</v>
      </c>
      <c r="D14">
        <v>223058751</v>
      </c>
      <c r="E14">
        <v>1</v>
      </c>
      <c r="F14">
        <v>1</v>
      </c>
      <c r="G14">
        <v>1</v>
      </c>
      <c r="H14">
        <v>2</v>
      </c>
      <c r="I14" t="s">
        <v>624</v>
      </c>
      <c r="J14" t="s">
        <v>625</v>
      </c>
      <c r="K14" t="s">
        <v>626</v>
      </c>
      <c r="L14">
        <v>1367</v>
      </c>
      <c r="N14">
        <v>1011</v>
      </c>
      <c r="O14" t="s">
        <v>612</v>
      </c>
      <c r="P14" t="s">
        <v>612</v>
      </c>
      <c r="Q14">
        <v>1</v>
      </c>
      <c r="X14">
        <v>0.1</v>
      </c>
      <c r="Y14">
        <v>0</v>
      </c>
      <c r="Z14">
        <v>65.709999999999994</v>
      </c>
      <c r="AA14">
        <v>11.6</v>
      </c>
      <c r="AB14">
        <v>0</v>
      </c>
      <c r="AC14">
        <v>0</v>
      </c>
      <c r="AD14">
        <v>1</v>
      </c>
      <c r="AE14">
        <v>0</v>
      </c>
      <c r="AF14" t="s">
        <v>46</v>
      </c>
      <c r="AG14">
        <v>0.12</v>
      </c>
      <c r="AH14">
        <v>2</v>
      </c>
      <c r="AI14">
        <v>224527701</v>
      </c>
      <c r="AJ14">
        <v>12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 x14ac:dyDescent="0.2">
      <c r="A15">
        <f>ROW(Source!A32)</f>
        <v>32</v>
      </c>
      <c r="B15">
        <v>224527702</v>
      </c>
      <c r="C15">
        <v>224527650</v>
      </c>
      <c r="D15">
        <v>222911579</v>
      </c>
      <c r="E15">
        <v>1</v>
      </c>
      <c r="F15">
        <v>1</v>
      </c>
      <c r="G15">
        <v>1</v>
      </c>
      <c r="H15">
        <v>3</v>
      </c>
      <c r="I15" t="s">
        <v>627</v>
      </c>
      <c r="J15" t="s">
        <v>628</v>
      </c>
      <c r="K15" t="s">
        <v>629</v>
      </c>
      <c r="L15">
        <v>1327</v>
      </c>
      <c r="N15">
        <v>1005</v>
      </c>
      <c r="O15" t="s">
        <v>73</v>
      </c>
      <c r="P15" t="s">
        <v>73</v>
      </c>
      <c r="Q15">
        <v>1</v>
      </c>
      <c r="X15">
        <v>0.84</v>
      </c>
      <c r="Y15">
        <v>72.319999999999993</v>
      </c>
      <c r="Z15">
        <v>0</v>
      </c>
      <c r="AA15">
        <v>0</v>
      </c>
      <c r="AB15">
        <v>0</v>
      </c>
      <c r="AC15">
        <v>0</v>
      </c>
      <c r="AD15">
        <v>1</v>
      </c>
      <c r="AE15">
        <v>0</v>
      </c>
      <c r="AF15" t="s">
        <v>2</v>
      </c>
      <c r="AG15">
        <v>0.84</v>
      </c>
      <c r="AH15">
        <v>2</v>
      </c>
      <c r="AI15">
        <v>224527702</v>
      </c>
      <c r="AJ15">
        <v>13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 x14ac:dyDescent="0.2">
      <c r="A16">
        <f>ROW(Source!A32)</f>
        <v>32</v>
      </c>
      <c r="B16">
        <v>224527703</v>
      </c>
      <c r="C16">
        <v>224527650</v>
      </c>
      <c r="D16">
        <v>222911928</v>
      </c>
      <c r="E16">
        <v>1</v>
      </c>
      <c r="F16">
        <v>1</v>
      </c>
      <c r="G16">
        <v>1</v>
      </c>
      <c r="H16">
        <v>3</v>
      </c>
      <c r="I16" t="s">
        <v>630</v>
      </c>
      <c r="J16" t="s">
        <v>631</v>
      </c>
      <c r="K16" t="s">
        <v>632</v>
      </c>
      <c r="L16">
        <v>1346</v>
      </c>
      <c r="N16">
        <v>1009</v>
      </c>
      <c r="O16" t="s">
        <v>33</v>
      </c>
      <c r="P16" t="s">
        <v>33</v>
      </c>
      <c r="Q16">
        <v>1</v>
      </c>
      <c r="X16">
        <v>0.31</v>
      </c>
      <c r="Y16">
        <v>1.82</v>
      </c>
      <c r="Z16">
        <v>0</v>
      </c>
      <c r="AA16">
        <v>0</v>
      </c>
      <c r="AB16">
        <v>0</v>
      </c>
      <c r="AC16">
        <v>0</v>
      </c>
      <c r="AD16">
        <v>1</v>
      </c>
      <c r="AE16">
        <v>0</v>
      </c>
      <c r="AF16" t="s">
        <v>2</v>
      </c>
      <c r="AG16">
        <v>0.31</v>
      </c>
      <c r="AH16">
        <v>2</v>
      </c>
      <c r="AI16">
        <v>224527703</v>
      </c>
      <c r="AJ16">
        <v>14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 x14ac:dyDescent="0.2">
      <c r="A17">
        <f>ROW(Source!A32)</f>
        <v>32</v>
      </c>
      <c r="B17">
        <v>224527704</v>
      </c>
      <c r="C17">
        <v>224527650</v>
      </c>
      <c r="D17">
        <v>222899151</v>
      </c>
      <c r="E17">
        <v>70</v>
      </c>
      <c r="F17">
        <v>1</v>
      </c>
      <c r="G17">
        <v>1</v>
      </c>
      <c r="H17">
        <v>3</v>
      </c>
      <c r="I17" t="s">
        <v>768</v>
      </c>
      <c r="J17" t="s">
        <v>2</v>
      </c>
      <c r="K17" t="s">
        <v>769</v>
      </c>
      <c r="L17">
        <v>1348</v>
      </c>
      <c r="N17">
        <v>1009</v>
      </c>
      <c r="O17" t="s">
        <v>18</v>
      </c>
      <c r="P17" t="s">
        <v>18</v>
      </c>
      <c r="Q17">
        <v>1000</v>
      </c>
      <c r="X17">
        <v>6.3E-2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 t="s">
        <v>2</v>
      </c>
      <c r="AG17">
        <v>6.3E-2</v>
      </c>
      <c r="AH17">
        <v>3</v>
      </c>
      <c r="AI17">
        <v>-1</v>
      </c>
      <c r="AJ17" t="s">
        <v>2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 x14ac:dyDescent="0.2">
      <c r="A18">
        <f>ROW(Source!A32)</f>
        <v>32</v>
      </c>
      <c r="B18">
        <v>224527705</v>
      </c>
      <c r="C18">
        <v>224527650</v>
      </c>
      <c r="D18">
        <v>222940670</v>
      </c>
      <c r="E18">
        <v>1</v>
      </c>
      <c r="F18">
        <v>1</v>
      </c>
      <c r="G18">
        <v>1</v>
      </c>
      <c r="H18">
        <v>3</v>
      </c>
      <c r="I18" t="s">
        <v>633</v>
      </c>
      <c r="J18" t="s">
        <v>634</v>
      </c>
      <c r="K18" t="s">
        <v>635</v>
      </c>
      <c r="L18">
        <v>1348</v>
      </c>
      <c r="N18">
        <v>1009</v>
      </c>
      <c r="O18" t="s">
        <v>18</v>
      </c>
      <c r="P18" t="s">
        <v>18</v>
      </c>
      <c r="Q18">
        <v>1000</v>
      </c>
      <c r="X18">
        <v>5.0000000000000001E-3</v>
      </c>
      <c r="Y18">
        <v>4294</v>
      </c>
      <c r="Z18">
        <v>0</v>
      </c>
      <c r="AA18">
        <v>0</v>
      </c>
      <c r="AB18">
        <v>0</v>
      </c>
      <c r="AC18">
        <v>0</v>
      </c>
      <c r="AD18">
        <v>1</v>
      </c>
      <c r="AE18">
        <v>0</v>
      </c>
      <c r="AF18" t="s">
        <v>2</v>
      </c>
      <c r="AG18">
        <v>5.0000000000000001E-3</v>
      </c>
      <c r="AH18">
        <v>2</v>
      </c>
      <c r="AI18">
        <v>224527705</v>
      </c>
      <c r="AJ18">
        <v>15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 x14ac:dyDescent="0.2">
      <c r="A19">
        <f>ROW(Source!A34)</f>
        <v>34</v>
      </c>
      <c r="B19">
        <v>224527575</v>
      </c>
      <c r="C19">
        <v>224527574</v>
      </c>
      <c r="D19">
        <v>222895929</v>
      </c>
      <c r="E19">
        <v>70</v>
      </c>
      <c r="F19">
        <v>1</v>
      </c>
      <c r="G19">
        <v>1</v>
      </c>
      <c r="H19">
        <v>1</v>
      </c>
      <c r="I19" t="s">
        <v>636</v>
      </c>
      <c r="J19" t="s">
        <v>2</v>
      </c>
      <c r="K19" t="s">
        <v>637</v>
      </c>
      <c r="L19">
        <v>1191</v>
      </c>
      <c r="N19">
        <v>74472246</v>
      </c>
      <c r="O19" t="s">
        <v>600</v>
      </c>
      <c r="P19" t="s">
        <v>600</v>
      </c>
      <c r="Q19">
        <v>1</v>
      </c>
      <c r="X19">
        <v>11.39</v>
      </c>
      <c r="Y19">
        <v>0</v>
      </c>
      <c r="Z19">
        <v>0</v>
      </c>
      <c r="AA19">
        <v>0</v>
      </c>
      <c r="AB19">
        <v>7.8</v>
      </c>
      <c r="AC19">
        <v>0</v>
      </c>
      <c r="AD19">
        <v>1</v>
      </c>
      <c r="AE19">
        <v>1</v>
      </c>
      <c r="AF19" t="s">
        <v>2</v>
      </c>
      <c r="AG19">
        <v>11.39</v>
      </c>
      <c r="AH19">
        <v>2</v>
      </c>
      <c r="AI19">
        <v>224527575</v>
      </c>
      <c r="AJ19">
        <v>16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 x14ac:dyDescent="0.2">
      <c r="A20">
        <f>ROW(Source!A34)</f>
        <v>34</v>
      </c>
      <c r="B20">
        <v>224527576</v>
      </c>
      <c r="C20">
        <v>224527574</v>
      </c>
      <c r="D20">
        <v>222896153</v>
      </c>
      <c r="E20">
        <v>70</v>
      </c>
      <c r="F20">
        <v>1</v>
      </c>
      <c r="G20">
        <v>1</v>
      </c>
      <c r="H20">
        <v>1</v>
      </c>
      <c r="I20" t="s">
        <v>607</v>
      </c>
      <c r="J20" t="s">
        <v>2</v>
      </c>
      <c r="K20" t="s">
        <v>608</v>
      </c>
      <c r="L20">
        <v>1191</v>
      </c>
      <c r="N20">
        <v>74472246</v>
      </c>
      <c r="O20" t="s">
        <v>600</v>
      </c>
      <c r="P20" t="s">
        <v>600</v>
      </c>
      <c r="Q20">
        <v>1</v>
      </c>
      <c r="X20">
        <v>0.13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>
        <v>2</v>
      </c>
      <c r="AF20" t="s">
        <v>2</v>
      </c>
      <c r="AG20">
        <v>0.13</v>
      </c>
      <c r="AH20">
        <v>2</v>
      </c>
      <c r="AI20">
        <v>224527576</v>
      </c>
      <c r="AJ20">
        <v>17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 x14ac:dyDescent="0.2">
      <c r="A21">
        <f>ROW(Source!A34)</f>
        <v>34</v>
      </c>
      <c r="B21">
        <v>224527577</v>
      </c>
      <c r="C21">
        <v>224527574</v>
      </c>
      <c r="D21">
        <v>223058015</v>
      </c>
      <c r="E21">
        <v>1</v>
      </c>
      <c r="F21">
        <v>1</v>
      </c>
      <c r="G21">
        <v>1</v>
      </c>
      <c r="H21">
        <v>2</v>
      </c>
      <c r="I21" t="s">
        <v>613</v>
      </c>
      <c r="J21" t="s">
        <v>614</v>
      </c>
      <c r="K21" t="s">
        <v>615</v>
      </c>
      <c r="L21">
        <v>1367</v>
      </c>
      <c r="N21">
        <v>1011</v>
      </c>
      <c r="O21" t="s">
        <v>612</v>
      </c>
      <c r="P21" t="s">
        <v>612</v>
      </c>
      <c r="Q21">
        <v>1</v>
      </c>
      <c r="X21">
        <v>0.13</v>
      </c>
      <c r="Y21">
        <v>0</v>
      </c>
      <c r="Z21">
        <v>31.26</v>
      </c>
      <c r="AA21">
        <v>13.5</v>
      </c>
      <c r="AB21">
        <v>0</v>
      </c>
      <c r="AC21">
        <v>0</v>
      </c>
      <c r="AD21">
        <v>1</v>
      </c>
      <c r="AE21">
        <v>0</v>
      </c>
      <c r="AF21" t="s">
        <v>2</v>
      </c>
      <c r="AG21">
        <v>0.13</v>
      </c>
      <c r="AH21">
        <v>2</v>
      </c>
      <c r="AI21">
        <v>224527577</v>
      </c>
      <c r="AJ21">
        <v>18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 x14ac:dyDescent="0.2">
      <c r="A22">
        <f>ROW(Source!A34)</f>
        <v>34</v>
      </c>
      <c r="B22">
        <v>224527578</v>
      </c>
      <c r="C22">
        <v>224527574</v>
      </c>
      <c r="D22">
        <v>222900884</v>
      </c>
      <c r="E22">
        <v>70</v>
      </c>
      <c r="F22">
        <v>1</v>
      </c>
      <c r="G22">
        <v>1</v>
      </c>
      <c r="H22">
        <v>3</v>
      </c>
      <c r="I22" t="s">
        <v>770</v>
      </c>
      <c r="J22" t="s">
        <v>2</v>
      </c>
      <c r="K22" t="s">
        <v>771</v>
      </c>
      <c r="L22">
        <v>1348</v>
      </c>
      <c r="N22">
        <v>1009</v>
      </c>
      <c r="O22" t="s">
        <v>18</v>
      </c>
      <c r="P22" t="s">
        <v>18</v>
      </c>
      <c r="Q22">
        <v>1000</v>
      </c>
      <c r="X22">
        <v>0.47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 t="s">
        <v>2</v>
      </c>
      <c r="AG22">
        <v>0.47</v>
      </c>
      <c r="AH22">
        <v>3</v>
      </c>
      <c r="AI22">
        <v>-1</v>
      </c>
      <c r="AJ22" t="s">
        <v>2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 x14ac:dyDescent="0.2">
      <c r="A23">
        <f>ROW(Source!A35)</f>
        <v>35</v>
      </c>
      <c r="B23">
        <v>224527581</v>
      </c>
      <c r="C23">
        <v>224527580</v>
      </c>
      <c r="D23">
        <v>222895953</v>
      </c>
      <c r="E23">
        <v>70</v>
      </c>
      <c r="F23">
        <v>1</v>
      </c>
      <c r="G23">
        <v>1</v>
      </c>
      <c r="H23">
        <v>1</v>
      </c>
      <c r="I23" t="s">
        <v>638</v>
      </c>
      <c r="J23" t="s">
        <v>2</v>
      </c>
      <c r="K23" t="s">
        <v>639</v>
      </c>
      <c r="L23">
        <v>1191</v>
      </c>
      <c r="N23">
        <v>74472246</v>
      </c>
      <c r="O23" t="s">
        <v>600</v>
      </c>
      <c r="P23" t="s">
        <v>600</v>
      </c>
      <c r="Q23">
        <v>1</v>
      </c>
      <c r="X23">
        <v>31.41</v>
      </c>
      <c r="Y23">
        <v>0</v>
      </c>
      <c r="Z23">
        <v>0</v>
      </c>
      <c r="AA23">
        <v>0</v>
      </c>
      <c r="AB23">
        <v>8.31</v>
      </c>
      <c r="AC23">
        <v>0</v>
      </c>
      <c r="AD23">
        <v>1</v>
      </c>
      <c r="AE23">
        <v>1</v>
      </c>
      <c r="AF23" t="s">
        <v>66</v>
      </c>
      <c r="AG23">
        <v>52.014959999999995</v>
      </c>
      <c r="AH23">
        <v>2</v>
      </c>
      <c r="AI23">
        <v>224527581</v>
      </c>
      <c r="AJ23">
        <v>19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 x14ac:dyDescent="0.2">
      <c r="A24">
        <f>ROW(Source!A35)</f>
        <v>35</v>
      </c>
      <c r="B24">
        <v>224527582</v>
      </c>
      <c r="C24">
        <v>224527580</v>
      </c>
      <c r="D24">
        <v>222896153</v>
      </c>
      <c r="E24">
        <v>70</v>
      </c>
      <c r="F24">
        <v>1</v>
      </c>
      <c r="G24">
        <v>1</v>
      </c>
      <c r="H24">
        <v>1</v>
      </c>
      <c r="I24" t="s">
        <v>607</v>
      </c>
      <c r="J24" t="s">
        <v>2</v>
      </c>
      <c r="K24" t="s">
        <v>608</v>
      </c>
      <c r="L24">
        <v>1191</v>
      </c>
      <c r="N24">
        <v>74472246</v>
      </c>
      <c r="O24" t="s">
        <v>600</v>
      </c>
      <c r="P24" t="s">
        <v>600</v>
      </c>
      <c r="Q24">
        <v>1</v>
      </c>
      <c r="X24">
        <v>0.82</v>
      </c>
      <c r="Y24">
        <v>0</v>
      </c>
      <c r="Z24">
        <v>0</v>
      </c>
      <c r="AA24">
        <v>0</v>
      </c>
      <c r="AB24">
        <v>0</v>
      </c>
      <c r="AC24">
        <v>0</v>
      </c>
      <c r="AD24">
        <v>1</v>
      </c>
      <c r="AE24">
        <v>2</v>
      </c>
      <c r="AF24" t="s">
        <v>65</v>
      </c>
      <c r="AG24">
        <v>1.2299999999999998</v>
      </c>
      <c r="AH24">
        <v>2</v>
      </c>
      <c r="AI24">
        <v>224527582</v>
      </c>
      <c r="AJ24">
        <v>20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 x14ac:dyDescent="0.2">
      <c r="A25">
        <f>ROW(Source!A35)</f>
        <v>35</v>
      </c>
      <c r="B25">
        <v>224527583</v>
      </c>
      <c r="C25">
        <v>224527580</v>
      </c>
      <c r="D25">
        <v>223058015</v>
      </c>
      <c r="E25">
        <v>1</v>
      </c>
      <c r="F25">
        <v>1</v>
      </c>
      <c r="G25">
        <v>1</v>
      </c>
      <c r="H25">
        <v>2</v>
      </c>
      <c r="I25" t="s">
        <v>613</v>
      </c>
      <c r="J25" t="s">
        <v>614</v>
      </c>
      <c r="K25" t="s">
        <v>615</v>
      </c>
      <c r="L25">
        <v>1367</v>
      </c>
      <c r="N25">
        <v>1011</v>
      </c>
      <c r="O25" t="s">
        <v>612</v>
      </c>
      <c r="P25" t="s">
        <v>612</v>
      </c>
      <c r="Q25">
        <v>1</v>
      </c>
      <c r="X25">
        <v>0.34</v>
      </c>
      <c r="Y25">
        <v>0</v>
      </c>
      <c r="Z25">
        <v>31.26</v>
      </c>
      <c r="AA25">
        <v>13.5</v>
      </c>
      <c r="AB25">
        <v>0</v>
      </c>
      <c r="AC25">
        <v>0</v>
      </c>
      <c r="AD25">
        <v>1</v>
      </c>
      <c r="AE25">
        <v>0</v>
      </c>
      <c r="AF25" t="s">
        <v>65</v>
      </c>
      <c r="AG25">
        <v>0.51</v>
      </c>
      <c r="AH25">
        <v>2</v>
      </c>
      <c r="AI25">
        <v>224527583</v>
      </c>
      <c r="AJ25">
        <v>21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 x14ac:dyDescent="0.2">
      <c r="A26">
        <f>ROW(Source!A35)</f>
        <v>35</v>
      </c>
      <c r="B26">
        <v>224527584</v>
      </c>
      <c r="C26">
        <v>224527580</v>
      </c>
      <c r="D26">
        <v>223058751</v>
      </c>
      <c r="E26">
        <v>1</v>
      </c>
      <c r="F26">
        <v>1</v>
      </c>
      <c r="G26">
        <v>1</v>
      </c>
      <c r="H26">
        <v>2</v>
      </c>
      <c r="I26" t="s">
        <v>624</v>
      </c>
      <c r="J26" t="s">
        <v>625</v>
      </c>
      <c r="K26" t="s">
        <v>626</v>
      </c>
      <c r="L26">
        <v>1367</v>
      </c>
      <c r="N26">
        <v>1011</v>
      </c>
      <c r="O26" t="s">
        <v>612</v>
      </c>
      <c r="P26" t="s">
        <v>612</v>
      </c>
      <c r="Q26">
        <v>1</v>
      </c>
      <c r="X26">
        <v>0.48</v>
      </c>
      <c r="Y26">
        <v>0</v>
      </c>
      <c r="Z26">
        <v>65.709999999999994</v>
      </c>
      <c r="AA26">
        <v>11.6</v>
      </c>
      <c r="AB26">
        <v>0</v>
      </c>
      <c r="AC26">
        <v>0</v>
      </c>
      <c r="AD26">
        <v>1</v>
      </c>
      <c r="AE26">
        <v>0</v>
      </c>
      <c r="AF26" t="s">
        <v>65</v>
      </c>
      <c r="AG26">
        <v>0.72</v>
      </c>
      <c r="AH26">
        <v>2</v>
      </c>
      <c r="AI26">
        <v>224527584</v>
      </c>
      <c r="AJ26">
        <v>22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 x14ac:dyDescent="0.2">
      <c r="A27">
        <f>ROW(Source!A35)</f>
        <v>35</v>
      </c>
      <c r="B27">
        <v>224527585</v>
      </c>
      <c r="C27">
        <v>224527580</v>
      </c>
      <c r="D27">
        <v>222896275</v>
      </c>
      <c r="E27">
        <v>70</v>
      </c>
      <c r="F27">
        <v>1</v>
      </c>
      <c r="G27">
        <v>1</v>
      </c>
      <c r="H27">
        <v>3</v>
      </c>
      <c r="I27" t="s">
        <v>772</v>
      </c>
      <c r="J27" t="s">
        <v>2</v>
      </c>
      <c r="K27" t="s">
        <v>773</v>
      </c>
      <c r="L27">
        <v>1327</v>
      </c>
      <c r="N27">
        <v>1005</v>
      </c>
      <c r="O27" t="s">
        <v>73</v>
      </c>
      <c r="P27" t="s">
        <v>73</v>
      </c>
      <c r="Q27">
        <v>1</v>
      </c>
      <c r="X27">
        <v>102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 t="s">
        <v>2</v>
      </c>
      <c r="AG27">
        <v>102</v>
      </c>
      <c r="AH27">
        <v>3</v>
      </c>
      <c r="AI27">
        <v>-1</v>
      </c>
      <c r="AJ27" t="s">
        <v>2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 x14ac:dyDescent="0.2">
      <c r="A28">
        <f>ROW(Source!A35)</f>
        <v>35</v>
      </c>
      <c r="B28">
        <v>224527586</v>
      </c>
      <c r="C28">
        <v>224527580</v>
      </c>
      <c r="D28">
        <v>222908463</v>
      </c>
      <c r="E28">
        <v>1</v>
      </c>
      <c r="F28">
        <v>1</v>
      </c>
      <c r="G28">
        <v>1</v>
      </c>
      <c r="H28">
        <v>3</v>
      </c>
      <c r="I28" t="s">
        <v>640</v>
      </c>
      <c r="J28" t="s">
        <v>641</v>
      </c>
      <c r="K28" t="s">
        <v>642</v>
      </c>
      <c r="L28">
        <v>1383</v>
      </c>
      <c r="N28">
        <v>74472246</v>
      </c>
      <c r="O28" t="s">
        <v>643</v>
      </c>
      <c r="P28" t="s">
        <v>643</v>
      </c>
      <c r="Q28">
        <v>1</v>
      </c>
      <c r="X28">
        <v>2.65</v>
      </c>
      <c r="Y28">
        <v>0.4</v>
      </c>
      <c r="Z28">
        <v>0</v>
      </c>
      <c r="AA28">
        <v>0</v>
      </c>
      <c r="AB28">
        <v>0</v>
      </c>
      <c r="AC28">
        <v>0</v>
      </c>
      <c r="AD28">
        <v>1</v>
      </c>
      <c r="AE28">
        <v>0</v>
      </c>
      <c r="AF28" t="s">
        <v>2</v>
      </c>
      <c r="AG28">
        <v>2.65</v>
      </c>
      <c r="AH28">
        <v>2</v>
      </c>
      <c r="AI28">
        <v>224527586</v>
      </c>
      <c r="AJ28">
        <v>23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 x14ac:dyDescent="0.2">
      <c r="A29">
        <f>ROW(Source!A35)</f>
        <v>35</v>
      </c>
      <c r="B29">
        <v>224527587</v>
      </c>
      <c r="C29">
        <v>224527580</v>
      </c>
      <c r="D29">
        <v>222908827</v>
      </c>
      <c r="E29">
        <v>1</v>
      </c>
      <c r="F29">
        <v>1</v>
      </c>
      <c r="G29">
        <v>1</v>
      </c>
      <c r="H29">
        <v>3</v>
      </c>
      <c r="I29" t="s">
        <v>644</v>
      </c>
      <c r="J29" t="s">
        <v>645</v>
      </c>
      <c r="K29" t="s">
        <v>646</v>
      </c>
      <c r="L29">
        <v>1308</v>
      </c>
      <c r="N29">
        <v>1003</v>
      </c>
      <c r="O29" t="s">
        <v>78</v>
      </c>
      <c r="P29" t="s">
        <v>78</v>
      </c>
      <c r="Q29">
        <v>100</v>
      </c>
      <c r="X29">
        <v>0.68</v>
      </c>
      <c r="Y29">
        <v>99.4</v>
      </c>
      <c r="Z29">
        <v>0</v>
      </c>
      <c r="AA29">
        <v>0</v>
      </c>
      <c r="AB29">
        <v>0</v>
      </c>
      <c r="AC29">
        <v>0</v>
      </c>
      <c r="AD29">
        <v>1</v>
      </c>
      <c r="AE29">
        <v>0</v>
      </c>
      <c r="AF29" t="s">
        <v>2</v>
      </c>
      <c r="AG29">
        <v>0.68</v>
      </c>
      <c r="AH29">
        <v>2</v>
      </c>
      <c r="AI29">
        <v>224527587</v>
      </c>
      <c r="AJ29">
        <v>24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 x14ac:dyDescent="0.2">
      <c r="A30">
        <f>ROW(Source!A37)</f>
        <v>37</v>
      </c>
      <c r="B30">
        <v>224527644</v>
      </c>
      <c r="C30">
        <v>224527640</v>
      </c>
      <c r="D30">
        <v>222895963</v>
      </c>
      <c r="E30">
        <v>70</v>
      </c>
      <c r="F30">
        <v>1</v>
      </c>
      <c r="G30">
        <v>1</v>
      </c>
      <c r="H30">
        <v>1</v>
      </c>
      <c r="I30" t="s">
        <v>647</v>
      </c>
      <c r="J30" t="s">
        <v>2</v>
      </c>
      <c r="K30" t="s">
        <v>648</v>
      </c>
      <c r="L30">
        <v>1191</v>
      </c>
      <c r="N30">
        <v>74472246</v>
      </c>
      <c r="O30" t="s">
        <v>600</v>
      </c>
      <c r="P30" t="s">
        <v>600</v>
      </c>
      <c r="Q30">
        <v>1</v>
      </c>
      <c r="X30">
        <v>7.68</v>
      </c>
      <c r="Y30">
        <v>0</v>
      </c>
      <c r="Z30">
        <v>0</v>
      </c>
      <c r="AA30">
        <v>0</v>
      </c>
      <c r="AB30">
        <v>8.5299999999999994</v>
      </c>
      <c r="AC30">
        <v>0</v>
      </c>
      <c r="AD30">
        <v>1</v>
      </c>
      <c r="AE30">
        <v>1</v>
      </c>
      <c r="AF30" t="s">
        <v>82</v>
      </c>
      <c r="AG30">
        <v>8.4787199999999991</v>
      </c>
      <c r="AH30">
        <v>2</v>
      </c>
      <c r="AI30">
        <v>224527644</v>
      </c>
      <c r="AJ30">
        <v>25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 x14ac:dyDescent="0.2">
      <c r="A31">
        <f>ROW(Source!A37)</f>
        <v>37</v>
      </c>
      <c r="B31">
        <v>224527645</v>
      </c>
      <c r="C31">
        <v>224527640</v>
      </c>
      <c r="D31">
        <v>222896153</v>
      </c>
      <c r="E31">
        <v>70</v>
      </c>
      <c r="F31">
        <v>1</v>
      </c>
      <c r="G31">
        <v>1</v>
      </c>
      <c r="H31">
        <v>1</v>
      </c>
      <c r="I31" t="s">
        <v>607</v>
      </c>
      <c r="J31" t="s">
        <v>2</v>
      </c>
      <c r="K31" t="s">
        <v>608</v>
      </c>
      <c r="L31">
        <v>1191</v>
      </c>
      <c r="N31">
        <v>74472246</v>
      </c>
      <c r="O31" t="s">
        <v>600</v>
      </c>
      <c r="P31" t="s">
        <v>600</v>
      </c>
      <c r="Q31">
        <v>1</v>
      </c>
      <c r="X31">
        <v>0.09</v>
      </c>
      <c r="Y31">
        <v>0</v>
      </c>
      <c r="Z31">
        <v>0</v>
      </c>
      <c r="AA31">
        <v>0</v>
      </c>
      <c r="AB31">
        <v>0</v>
      </c>
      <c r="AC31">
        <v>0</v>
      </c>
      <c r="AD31">
        <v>1</v>
      </c>
      <c r="AE31">
        <v>2</v>
      </c>
      <c r="AF31" t="s">
        <v>81</v>
      </c>
      <c r="AG31">
        <v>0.108</v>
      </c>
      <c r="AH31">
        <v>2</v>
      </c>
      <c r="AI31">
        <v>224527645</v>
      </c>
      <c r="AJ31">
        <v>26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 x14ac:dyDescent="0.2">
      <c r="A32">
        <f>ROW(Source!A37)</f>
        <v>37</v>
      </c>
      <c r="B32">
        <v>224527646</v>
      </c>
      <c r="C32">
        <v>224527640</v>
      </c>
      <c r="D32">
        <v>223058015</v>
      </c>
      <c r="E32">
        <v>1</v>
      </c>
      <c r="F32">
        <v>1</v>
      </c>
      <c r="G32">
        <v>1</v>
      </c>
      <c r="H32">
        <v>2</v>
      </c>
      <c r="I32" t="s">
        <v>613</v>
      </c>
      <c r="J32" t="s">
        <v>614</v>
      </c>
      <c r="K32" t="s">
        <v>615</v>
      </c>
      <c r="L32">
        <v>1367</v>
      </c>
      <c r="N32">
        <v>1011</v>
      </c>
      <c r="O32" t="s">
        <v>612</v>
      </c>
      <c r="P32" t="s">
        <v>612</v>
      </c>
      <c r="Q32">
        <v>1</v>
      </c>
      <c r="X32">
        <v>0.01</v>
      </c>
      <c r="Y32">
        <v>0</v>
      </c>
      <c r="Z32">
        <v>31.26</v>
      </c>
      <c r="AA32">
        <v>13.5</v>
      </c>
      <c r="AB32">
        <v>0</v>
      </c>
      <c r="AC32">
        <v>0</v>
      </c>
      <c r="AD32">
        <v>1</v>
      </c>
      <c r="AE32">
        <v>0</v>
      </c>
      <c r="AF32" t="s">
        <v>81</v>
      </c>
      <c r="AG32">
        <v>1.2E-2</v>
      </c>
      <c r="AH32">
        <v>2</v>
      </c>
      <c r="AI32">
        <v>224527646</v>
      </c>
      <c r="AJ32">
        <v>27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 x14ac:dyDescent="0.2">
      <c r="A33">
        <f>ROW(Source!A37)</f>
        <v>37</v>
      </c>
      <c r="B33">
        <v>224527647</v>
      </c>
      <c r="C33">
        <v>224527640</v>
      </c>
      <c r="D33">
        <v>223058751</v>
      </c>
      <c r="E33">
        <v>1</v>
      </c>
      <c r="F33">
        <v>1</v>
      </c>
      <c r="G33">
        <v>1</v>
      </c>
      <c r="H33">
        <v>2</v>
      </c>
      <c r="I33" t="s">
        <v>624</v>
      </c>
      <c r="J33" t="s">
        <v>625</v>
      </c>
      <c r="K33" t="s">
        <v>626</v>
      </c>
      <c r="L33">
        <v>1367</v>
      </c>
      <c r="N33">
        <v>1011</v>
      </c>
      <c r="O33" t="s">
        <v>612</v>
      </c>
      <c r="P33" t="s">
        <v>612</v>
      </c>
      <c r="Q33">
        <v>1</v>
      </c>
      <c r="X33">
        <v>0.08</v>
      </c>
      <c r="Y33">
        <v>0</v>
      </c>
      <c r="Z33">
        <v>65.709999999999994</v>
      </c>
      <c r="AA33">
        <v>11.6</v>
      </c>
      <c r="AB33">
        <v>0</v>
      </c>
      <c r="AC33">
        <v>0</v>
      </c>
      <c r="AD33">
        <v>1</v>
      </c>
      <c r="AE33">
        <v>0</v>
      </c>
      <c r="AF33" t="s">
        <v>81</v>
      </c>
      <c r="AG33">
        <v>9.6000000000000002E-2</v>
      </c>
      <c r="AH33">
        <v>2</v>
      </c>
      <c r="AI33">
        <v>224527647</v>
      </c>
      <c r="AJ33">
        <v>28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 x14ac:dyDescent="0.2">
      <c r="A34">
        <f>ROW(Source!A37)</f>
        <v>37</v>
      </c>
      <c r="B34">
        <v>224527648</v>
      </c>
      <c r="C34">
        <v>224527640</v>
      </c>
      <c r="D34">
        <v>222910838</v>
      </c>
      <c r="E34">
        <v>1</v>
      </c>
      <c r="F34">
        <v>1</v>
      </c>
      <c r="G34">
        <v>1</v>
      </c>
      <c r="H34">
        <v>3</v>
      </c>
      <c r="I34" t="s">
        <v>649</v>
      </c>
      <c r="J34" t="s">
        <v>650</v>
      </c>
      <c r="K34" t="s">
        <v>651</v>
      </c>
      <c r="L34">
        <v>1348</v>
      </c>
      <c r="N34">
        <v>1009</v>
      </c>
      <c r="O34" t="s">
        <v>18</v>
      </c>
      <c r="P34" t="s">
        <v>18</v>
      </c>
      <c r="Q34">
        <v>1000</v>
      </c>
      <c r="X34">
        <v>2.9999999999999997E-4</v>
      </c>
      <c r="Y34">
        <v>8475</v>
      </c>
      <c r="Z34">
        <v>0</v>
      </c>
      <c r="AA34">
        <v>0</v>
      </c>
      <c r="AB34">
        <v>0</v>
      </c>
      <c r="AC34">
        <v>0</v>
      </c>
      <c r="AD34">
        <v>1</v>
      </c>
      <c r="AE34">
        <v>0</v>
      </c>
      <c r="AF34" t="s">
        <v>80</v>
      </c>
      <c r="AG34">
        <v>0</v>
      </c>
      <c r="AH34">
        <v>2</v>
      </c>
      <c r="AI34">
        <v>224527648</v>
      </c>
      <c r="AJ34">
        <v>29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 x14ac:dyDescent="0.2">
      <c r="A35">
        <f>ROW(Source!A37)</f>
        <v>37</v>
      </c>
      <c r="B35">
        <v>224527649</v>
      </c>
      <c r="C35">
        <v>224527640</v>
      </c>
      <c r="D35">
        <v>222931724</v>
      </c>
      <c r="E35">
        <v>1</v>
      </c>
      <c r="F35">
        <v>1</v>
      </c>
      <c r="G35">
        <v>1</v>
      </c>
      <c r="H35">
        <v>3</v>
      </c>
      <c r="I35" t="s">
        <v>652</v>
      </c>
      <c r="J35" t="s">
        <v>653</v>
      </c>
      <c r="K35" t="s">
        <v>654</v>
      </c>
      <c r="L35">
        <v>1301</v>
      </c>
      <c r="N35">
        <v>1003</v>
      </c>
      <c r="O35" t="s">
        <v>195</v>
      </c>
      <c r="P35" t="s">
        <v>195</v>
      </c>
      <c r="Q35">
        <v>1</v>
      </c>
      <c r="X35">
        <v>101</v>
      </c>
      <c r="Y35">
        <v>4.8899999999999997</v>
      </c>
      <c r="Z35">
        <v>0</v>
      </c>
      <c r="AA35">
        <v>0</v>
      </c>
      <c r="AB35">
        <v>0</v>
      </c>
      <c r="AC35">
        <v>0</v>
      </c>
      <c r="AD35">
        <v>1</v>
      </c>
      <c r="AE35">
        <v>0</v>
      </c>
      <c r="AF35" t="s">
        <v>80</v>
      </c>
      <c r="AG35">
        <v>0</v>
      </c>
      <c r="AH35">
        <v>2</v>
      </c>
      <c r="AI35">
        <v>224527649</v>
      </c>
      <c r="AJ35">
        <v>30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 x14ac:dyDescent="0.2">
      <c r="A36">
        <f>ROW(Source!A38)</f>
        <v>38</v>
      </c>
      <c r="B36">
        <v>224527591</v>
      </c>
      <c r="C36">
        <v>224527590</v>
      </c>
      <c r="D36">
        <v>222895963</v>
      </c>
      <c r="E36">
        <v>70</v>
      </c>
      <c r="F36">
        <v>1</v>
      </c>
      <c r="G36">
        <v>1</v>
      </c>
      <c r="H36">
        <v>1</v>
      </c>
      <c r="I36" t="s">
        <v>647</v>
      </c>
      <c r="J36" t="s">
        <v>2</v>
      </c>
      <c r="K36" t="s">
        <v>648</v>
      </c>
      <c r="L36">
        <v>1191</v>
      </c>
      <c r="N36">
        <v>74472246</v>
      </c>
      <c r="O36" t="s">
        <v>600</v>
      </c>
      <c r="P36" t="s">
        <v>600</v>
      </c>
      <c r="Q36">
        <v>1</v>
      </c>
      <c r="X36">
        <v>7.68</v>
      </c>
      <c r="Y36">
        <v>0</v>
      </c>
      <c r="Z36">
        <v>0</v>
      </c>
      <c r="AA36">
        <v>0</v>
      </c>
      <c r="AB36">
        <v>8.5299999999999994</v>
      </c>
      <c r="AC36">
        <v>0</v>
      </c>
      <c r="AD36">
        <v>1</v>
      </c>
      <c r="AE36">
        <v>1</v>
      </c>
      <c r="AF36" t="s">
        <v>85</v>
      </c>
      <c r="AG36">
        <v>10.598399999999998</v>
      </c>
      <c r="AH36">
        <v>2</v>
      </c>
      <c r="AI36">
        <v>224527591</v>
      </c>
      <c r="AJ36">
        <v>31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 x14ac:dyDescent="0.2">
      <c r="A37">
        <f>ROW(Source!A38)</f>
        <v>38</v>
      </c>
      <c r="B37">
        <v>224527592</v>
      </c>
      <c r="C37">
        <v>224527590</v>
      </c>
      <c r="D37">
        <v>222896153</v>
      </c>
      <c r="E37">
        <v>70</v>
      </c>
      <c r="F37">
        <v>1</v>
      </c>
      <c r="G37">
        <v>1</v>
      </c>
      <c r="H37">
        <v>1</v>
      </c>
      <c r="I37" t="s">
        <v>607</v>
      </c>
      <c r="J37" t="s">
        <v>2</v>
      </c>
      <c r="K37" t="s">
        <v>608</v>
      </c>
      <c r="L37">
        <v>1191</v>
      </c>
      <c r="N37">
        <v>74472246</v>
      </c>
      <c r="O37" t="s">
        <v>600</v>
      </c>
      <c r="P37" t="s">
        <v>600</v>
      </c>
      <c r="Q37">
        <v>1</v>
      </c>
      <c r="X37">
        <v>0.09</v>
      </c>
      <c r="Y37">
        <v>0</v>
      </c>
      <c r="Z37">
        <v>0</v>
      </c>
      <c r="AA37">
        <v>0</v>
      </c>
      <c r="AB37">
        <v>0</v>
      </c>
      <c r="AC37">
        <v>0</v>
      </c>
      <c r="AD37">
        <v>1</v>
      </c>
      <c r="AE37">
        <v>2</v>
      </c>
      <c r="AF37" t="s">
        <v>65</v>
      </c>
      <c r="AG37">
        <v>0.13499999999999998</v>
      </c>
      <c r="AH37">
        <v>2</v>
      </c>
      <c r="AI37">
        <v>224527592</v>
      </c>
      <c r="AJ37">
        <v>32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 x14ac:dyDescent="0.2">
      <c r="A38">
        <f>ROW(Source!A38)</f>
        <v>38</v>
      </c>
      <c r="B38">
        <v>224527593</v>
      </c>
      <c r="C38">
        <v>224527590</v>
      </c>
      <c r="D38">
        <v>223058015</v>
      </c>
      <c r="E38">
        <v>1</v>
      </c>
      <c r="F38">
        <v>1</v>
      </c>
      <c r="G38">
        <v>1</v>
      </c>
      <c r="H38">
        <v>2</v>
      </c>
      <c r="I38" t="s">
        <v>613</v>
      </c>
      <c r="J38" t="s">
        <v>614</v>
      </c>
      <c r="K38" t="s">
        <v>615</v>
      </c>
      <c r="L38">
        <v>1367</v>
      </c>
      <c r="N38">
        <v>1011</v>
      </c>
      <c r="O38" t="s">
        <v>612</v>
      </c>
      <c r="P38" t="s">
        <v>612</v>
      </c>
      <c r="Q38">
        <v>1</v>
      </c>
      <c r="X38">
        <v>0.01</v>
      </c>
      <c r="Y38">
        <v>0</v>
      </c>
      <c r="Z38">
        <v>31.26</v>
      </c>
      <c r="AA38">
        <v>13.5</v>
      </c>
      <c r="AB38">
        <v>0</v>
      </c>
      <c r="AC38">
        <v>0</v>
      </c>
      <c r="AD38">
        <v>1</v>
      </c>
      <c r="AE38">
        <v>0</v>
      </c>
      <c r="AF38" t="s">
        <v>65</v>
      </c>
      <c r="AG38">
        <v>1.4999999999999999E-2</v>
      </c>
      <c r="AH38">
        <v>2</v>
      </c>
      <c r="AI38">
        <v>224527593</v>
      </c>
      <c r="AJ38">
        <v>33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 x14ac:dyDescent="0.2">
      <c r="A39">
        <f>ROW(Source!A38)</f>
        <v>38</v>
      </c>
      <c r="B39">
        <v>224527594</v>
      </c>
      <c r="C39">
        <v>224527590</v>
      </c>
      <c r="D39">
        <v>223058751</v>
      </c>
      <c r="E39">
        <v>1</v>
      </c>
      <c r="F39">
        <v>1</v>
      </c>
      <c r="G39">
        <v>1</v>
      </c>
      <c r="H39">
        <v>2</v>
      </c>
      <c r="I39" t="s">
        <v>624</v>
      </c>
      <c r="J39" t="s">
        <v>625</v>
      </c>
      <c r="K39" t="s">
        <v>626</v>
      </c>
      <c r="L39">
        <v>1367</v>
      </c>
      <c r="N39">
        <v>1011</v>
      </c>
      <c r="O39" t="s">
        <v>612</v>
      </c>
      <c r="P39" t="s">
        <v>612</v>
      </c>
      <c r="Q39">
        <v>1</v>
      </c>
      <c r="X39">
        <v>0.08</v>
      </c>
      <c r="Y39">
        <v>0</v>
      </c>
      <c r="Z39">
        <v>65.709999999999994</v>
      </c>
      <c r="AA39">
        <v>11.6</v>
      </c>
      <c r="AB39">
        <v>0</v>
      </c>
      <c r="AC39">
        <v>0</v>
      </c>
      <c r="AD39">
        <v>1</v>
      </c>
      <c r="AE39">
        <v>0</v>
      </c>
      <c r="AF39" t="s">
        <v>65</v>
      </c>
      <c r="AG39">
        <v>0.12</v>
      </c>
      <c r="AH39">
        <v>2</v>
      </c>
      <c r="AI39">
        <v>224527594</v>
      </c>
      <c r="AJ39">
        <v>34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 x14ac:dyDescent="0.2">
      <c r="A40">
        <f>ROW(Source!A38)</f>
        <v>38</v>
      </c>
      <c r="B40">
        <v>224527595</v>
      </c>
      <c r="C40">
        <v>224527590</v>
      </c>
      <c r="D40">
        <v>222910838</v>
      </c>
      <c r="E40">
        <v>1</v>
      </c>
      <c r="F40">
        <v>1</v>
      </c>
      <c r="G40">
        <v>1</v>
      </c>
      <c r="H40">
        <v>3</v>
      </c>
      <c r="I40" t="s">
        <v>649</v>
      </c>
      <c r="J40" t="s">
        <v>650</v>
      </c>
      <c r="K40" t="s">
        <v>651</v>
      </c>
      <c r="L40">
        <v>1348</v>
      </c>
      <c r="N40">
        <v>1009</v>
      </c>
      <c r="O40" t="s">
        <v>18</v>
      </c>
      <c r="P40" t="s">
        <v>18</v>
      </c>
      <c r="Q40">
        <v>1000</v>
      </c>
      <c r="X40">
        <v>2.9999999999999997E-4</v>
      </c>
      <c r="Y40">
        <v>8475</v>
      </c>
      <c r="Z40">
        <v>0</v>
      </c>
      <c r="AA40">
        <v>0</v>
      </c>
      <c r="AB40">
        <v>0</v>
      </c>
      <c r="AC40">
        <v>0</v>
      </c>
      <c r="AD40">
        <v>1</v>
      </c>
      <c r="AE40">
        <v>0</v>
      </c>
      <c r="AF40" t="s">
        <v>2</v>
      </c>
      <c r="AG40">
        <v>2.9999999999999997E-4</v>
      </c>
      <c r="AH40">
        <v>2</v>
      </c>
      <c r="AI40">
        <v>224527595</v>
      </c>
      <c r="AJ40">
        <v>35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 x14ac:dyDescent="0.2">
      <c r="A41">
        <f>ROW(Source!A38)</f>
        <v>38</v>
      </c>
      <c r="B41">
        <v>224527596</v>
      </c>
      <c r="C41">
        <v>224527590</v>
      </c>
      <c r="D41">
        <v>222931724</v>
      </c>
      <c r="E41">
        <v>1</v>
      </c>
      <c r="F41">
        <v>1</v>
      </c>
      <c r="G41">
        <v>1</v>
      </c>
      <c r="H41">
        <v>3</v>
      </c>
      <c r="I41" t="s">
        <v>652</v>
      </c>
      <c r="J41" t="s">
        <v>653</v>
      </c>
      <c r="K41" t="s">
        <v>654</v>
      </c>
      <c r="L41">
        <v>1301</v>
      </c>
      <c r="N41">
        <v>1003</v>
      </c>
      <c r="O41" t="s">
        <v>195</v>
      </c>
      <c r="P41" t="s">
        <v>195</v>
      </c>
      <c r="Q41">
        <v>1</v>
      </c>
      <c r="X41">
        <v>101</v>
      </c>
      <c r="Y41">
        <v>4.8899999999999997</v>
      </c>
      <c r="Z41">
        <v>0</v>
      </c>
      <c r="AA41">
        <v>0</v>
      </c>
      <c r="AB41">
        <v>0</v>
      </c>
      <c r="AC41">
        <v>0</v>
      </c>
      <c r="AD41">
        <v>1</v>
      </c>
      <c r="AE41">
        <v>0</v>
      </c>
      <c r="AF41" t="s">
        <v>2</v>
      </c>
      <c r="AG41">
        <v>101</v>
      </c>
      <c r="AH41">
        <v>2</v>
      </c>
      <c r="AI41">
        <v>224527596</v>
      </c>
      <c r="AJ41">
        <v>36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 x14ac:dyDescent="0.2">
      <c r="A42">
        <f>ROW(Source!A39)</f>
        <v>39</v>
      </c>
      <c r="B42">
        <v>224527598</v>
      </c>
      <c r="C42">
        <v>224527597</v>
      </c>
      <c r="D42">
        <v>222895959</v>
      </c>
      <c r="E42">
        <v>70</v>
      </c>
      <c r="F42">
        <v>1</v>
      </c>
      <c r="G42">
        <v>1</v>
      </c>
      <c r="H42">
        <v>1</v>
      </c>
      <c r="I42" t="s">
        <v>605</v>
      </c>
      <c r="J42" t="s">
        <v>2</v>
      </c>
      <c r="K42" t="s">
        <v>606</v>
      </c>
      <c r="L42">
        <v>1191</v>
      </c>
      <c r="N42">
        <v>74472246</v>
      </c>
      <c r="O42" t="s">
        <v>600</v>
      </c>
      <c r="P42" t="s">
        <v>600</v>
      </c>
      <c r="Q42">
        <v>1</v>
      </c>
      <c r="X42">
        <v>35.83</v>
      </c>
      <c r="Y42">
        <v>0</v>
      </c>
      <c r="Z42">
        <v>0</v>
      </c>
      <c r="AA42">
        <v>0</v>
      </c>
      <c r="AB42">
        <v>8.4600000000000009</v>
      </c>
      <c r="AC42">
        <v>0</v>
      </c>
      <c r="AD42">
        <v>1</v>
      </c>
      <c r="AE42">
        <v>1</v>
      </c>
      <c r="AF42" t="s">
        <v>2</v>
      </c>
      <c r="AG42">
        <v>35.83</v>
      </c>
      <c r="AH42">
        <v>2</v>
      </c>
      <c r="AI42">
        <v>224527598</v>
      </c>
      <c r="AJ42">
        <v>37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 x14ac:dyDescent="0.2">
      <c r="A43">
        <f>ROW(Source!A39)</f>
        <v>39</v>
      </c>
      <c r="B43">
        <v>224527599</v>
      </c>
      <c r="C43">
        <v>224527597</v>
      </c>
      <c r="D43">
        <v>222896153</v>
      </c>
      <c r="E43">
        <v>70</v>
      </c>
      <c r="F43">
        <v>1</v>
      </c>
      <c r="G43">
        <v>1</v>
      </c>
      <c r="H43">
        <v>1</v>
      </c>
      <c r="I43" t="s">
        <v>607</v>
      </c>
      <c r="J43" t="s">
        <v>2</v>
      </c>
      <c r="K43" t="s">
        <v>608</v>
      </c>
      <c r="L43">
        <v>1191</v>
      </c>
      <c r="N43">
        <v>74472246</v>
      </c>
      <c r="O43" t="s">
        <v>600</v>
      </c>
      <c r="P43" t="s">
        <v>600</v>
      </c>
      <c r="Q43">
        <v>1</v>
      </c>
      <c r="X43">
        <v>0.94</v>
      </c>
      <c r="Y43">
        <v>0</v>
      </c>
      <c r="Z43">
        <v>0</v>
      </c>
      <c r="AA43">
        <v>0</v>
      </c>
      <c r="AB43">
        <v>0</v>
      </c>
      <c r="AC43">
        <v>0</v>
      </c>
      <c r="AD43">
        <v>1</v>
      </c>
      <c r="AE43">
        <v>2</v>
      </c>
      <c r="AF43" t="s">
        <v>2</v>
      </c>
      <c r="AG43">
        <v>0.94</v>
      </c>
      <c r="AH43">
        <v>2</v>
      </c>
      <c r="AI43">
        <v>224527599</v>
      </c>
      <c r="AJ43">
        <v>38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 x14ac:dyDescent="0.2">
      <c r="A44">
        <f>ROW(Source!A39)</f>
        <v>39</v>
      </c>
      <c r="B44">
        <v>224527600</v>
      </c>
      <c r="C44">
        <v>224527597</v>
      </c>
      <c r="D44">
        <v>223057975</v>
      </c>
      <c r="E44">
        <v>1</v>
      </c>
      <c r="F44">
        <v>1</v>
      </c>
      <c r="G44">
        <v>1</v>
      </c>
      <c r="H44">
        <v>2</v>
      </c>
      <c r="I44" t="s">
        <v>609</v>
      </c>
      <c r="J44" t="s">
        <v>610</v>
      </c>
      <c r="K44" t="s">
        <v>611</v>
      </c>
      <c r="L44">
        <v>1367</v>
      </c>
      <c r="N44">
        <v>1011</v>
      </c>
      <c r="O44" t="s">
        <v>612</v>
      </c>
      <c r="P44" t="s">
        <v>612</v>
      </c>
      <c r="Q44">
        <v>1</v>
      </c>
      <c r="X44">
        <v>0.02</v>
      </c>
      <c r="Y44">
        <v>0</v>
      </c>
      <c r="Z44">
        <v>89.99</v>
      </c>
      <c r="AA44">
        <v>10.06</v>
      </c>
      <c r="AB44">
        <v>0</v>
      </c>
      <c r="AC44">
        <v>0</v>
      </c>
      <c r="AD44">
        <v>1</v>
      </c>
      <c r="AE44">
        <v>0</v>
      </c>
      <c r="AF44" t="s">
        <v>2</v>
      </c>
      <c r="AG44">
        <v>0.02</v>
      </c>
      <c r="AH44">
        <v>2</v>
      </c>
      <c r="AI44">
        <v>224527600</v>
      </c>
      <c r="AJ44">
        <v>39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 x14ac:dyDescent="0.2">
      <c r="A45">
        <f>ROW(Source!A39)</f>
        <v>39</v>
      </c>
      <c r="B45">
        <v>224527601</v>
      </c>
      <c r="C45">
        <v>224527597</v>
      </c>
      <c r="D45">
        <v>223058015</v>
      </c>
      <c r="E45">
        <v>1</v>
      </c>
      <c r="F45">
        <v>1</v>
      </c>
      <c r="G45">
        <v>1</v>
      </c>
      <c r="H45">
        <v>2</v>
      </c>
      <c r="I45" t="s">
        <v>613</v>
      </c>
      <c r="J45" t="s">
        <v>614</v>
      </c>
      <c r="K45" t="s">
        <v>615</v>
      </c>
      <c r="L45">
        <v>1367</v>
      </c>
      <c r="N45">
        <v>1011</v>
      </c>
      <c r="O45" t="s">
        <v>612</v>
      </c>
      <c r="P45" t="s">
        <v>612</v>
      </c>
      <c r="Q45">
        <v>1</v>
      </c>
      <c r="X45">
        <v>0.21</v>
      </c>
      <c r="Y45">
        <v>0</v>
      </c>
      <c r="Z45">
        <v>31.26</v>
      </c>
      <c r="AA45">
        <v>13.5</v>
      </c>
      <c r="AB45">
        <v>0</v>
      </c>
      <c r="AC45">
        <v>0</v>
      </c>
      <c r="AD45">
        <v>1</v>
      </c>
      <c r="AE45">
        <v>0</v>
      </c>
      <c r="AF45" t="s">
        <v>2</v>
      </c>
      <c r="AG45">
        <v>0.21</v>
      </c>
      <c r="AH45">
        <v>2</v>
      </c>
      <c r="AI45">
        <v>224527601</v>
      </c>
      <c r="AJ45">
        <v>40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 x14ac:dyDescent="0.2">
      <c r="A46">
        <f>ROW(Source!A39)</f>
        <v>39</v>
      </c>
      <c r="B46">
        <v>224527602</v>
      </c>
      <c r="C46">
        <v>224527597</v>
      </c>
      <c r="D46">
        <v>223058138</v>
      </c>
      <c r="E46">
        <v>1</v>
      </c>
      <c r="F46">
        <v>1</v>
      </c>
      <c r="G46">
        <v>1</v>
      </c>
      <c r="H46">
        <v>2</v>
      </c>
      <c r="I46" t="s">
        <v>616</v>
      </c>
      <c r="J46" t="s">
        <v>617</v>
      </c>
      <c r="K46" t="s">
        <v>618</v>
      </c>
      <c r="L46">
        <v>1367</v>
      </c>
      <c r="N46">
        <v>1011</v>
      </c>
      <c r="O46" t="s">
        <v>612</v>
      </c>
      <c r="P46" t="s">
        <v>612</v>
      </c>
      <c r="Q46">
        <v>1</v>
      </c>
      <c r="X46">
        <v>0.71</v>
      </c>
      <c r="Y46">
        <v>0</v>
      </c>
      <c r="Z46">
        <v>12.39</v>
      </c>
      <c r="AA46">
        <v>10.06</v>
      </c>
      <c r="AB46">
        <v>0</v>
      </c>
      <c r="AC46">
        <v>0</v>
      </c>
      <c r="AD46">
        <v>1</v>
      </c>
      <c r="AE46">
        <v>0</v>
      </c>
      <c r="AF46" t="s">
        <v>2</v>
      </c>
      <c r="AG46">
        <v>0.71</v>
      </c>
      <c r="AH46">
        <v>2</v>
      </c>
      <c r="AI46">
        <v>224527602</v>
      </c>
      <c r="AJ46">
        <v>41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 x14ac:dyDescent="0.2">
      <c r="A47">
        <f>ROW(Source!A39)</f>
        <v>39</v>
      </c>
      <c r="B47">
        <v>224527603</v>
      </c>
      <c r="C47">
        <v>224527597</v>
      </c>
      <c r="D47">
        <v>222908451</v>
      </c>
      <c r="E47">
        <v>1</v>
      </c>
      <c r="F47">
        <v>1</v>
      </c>
      <c r="G47">
        <v>1</v>
      </c>
      <c r="H47">
        <v>3</v>
      </c>
      <c r="I47" t="s">
        <v>619</v>
      </c>
      <c r="J47" t="s">
        <v>620</v>
      </c>
      <c r="K47" t="s">
        <v>621</v>
      </c>
      <c r="L47">
        <v>1339</v>
      </c>
      <c r="N47">
        <v>1007</v>
      </c>
      <c r="O47" t="s">
        <v>215</v>
      </c>
      <c r="P47" t="s">
        <v>215</v>
      </c>
      <c r="Q47">
        <v>1</v>
      </c>
      <c r="X47">
        <v>0.51300000000000001</v>
      </c>
      <c r="Y47">
        <v>2.44</v>
      </c>
      <c r="Z47">
        <v>0</v>
      </c>
      <c r="AA47">
        <v>0</v>
      </c>
      <c r="AB47">
        <v>0</v>
      </c>
      <c r="AC47">
        <v>0</v>
      </c>
      <c r="AD47">
        <v>1</v>
      </c>
      <c r="AE47">
        <v>0</v>
      </c>
      <c r="AF47" t="s">
        <v>2</v>
      </c>
      <c r="AG47">
        <v>0.51300000000000001</v>
      </c>
      <c r="AH47">
        <v>2</v>
      </c>
      <c r="AI47">
        <v>224527603</v>
      </c>
      <c r="AJ47">
        <v>42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 x14ac:dyDescent="0.2">
      <c r="A48">
        <f>ROW(Source!A39)</f>
        <v>39</v>
      </c>
      <c r="B48">
        <v>224527604</v>
      </c>
      <c r="C48">
        <v>224527597</v>
      </c>
      <c r="D48">
        <v>222897076</v>
      </c>
      <c r="E48">
        <v>70</v>
      </c>
      <c r="F48">
        <v>1</v>
      </c>
      <c r="G48">
        <v>1</v>
      </c>
      <c r="H48">
        <v>3</v>
      </c>
      <c r="I48" t="s">
        <v>764</v>
      </c>
      <c r="J48" t="s">
        <v>2</v>
      </c>
      <c r="K48" t="s">
        <v>765</v>
      </c>
      <c r="L48">
        <v>1348</v>
      </c>
      <c r="N48">
        <v>1009</v>
      </c>
      <c r="O48" t="s">
        <v>18</v>
      </c>
      <c r="P48" t="s">
        <v>18</v>
      </c>
      <c r="Q48">
        <v>1000</v>
      </c>
      <c r="X48">
        <v>0.85499999999999998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 t="s">
        <v>2</v>
      </c>
      <c r="AG48">
        <v>0.85499999999999998</v>
      </c>
      <c r="AH48">
        <v>3</v>
      </c>
      <c r="AI48">
        <v>-1</v>
      </c>
      <c r="AJ48" t="s">
        <v>2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 x14ac:dyDescent="0.2">
      <c r="A49">
        <f>ROW(Source!A39)</f>
        <v>39</v>
      </c>
      <c r="B49">
        <v>224527605</v>
      </c>
      <c r="C49">
        <v>224527597</v>
      </c>
      <c r="D49">
        <v>222899165</v>
      </c>
      <c r="E49">
        <v>70</v>
      </c>
      <c r="F49">
        <v>1</v>
      </c>
      <c r="G49">
        <v>1</v>
      </c>
      <c r="H49">
        <v>3</v>
      </c>
      <c r="I49" t="s">
        <v>766</v>
      </c>
      <c r="J49" t="s">
        <v>2</v>
      </c>
      <c r="K49" t="s">
        <v>767</v>
      </c>
      <c r="L49">
        <v>1348</v>
      </c>
      <c r="N49">
        <v>1009</v>
      </c>
      <c r="O49" t="s">
        <v>18</v>
      </c>
      <c r="P49" t="s">
        <v>18</v>
      </c>
      <c r="Q49">
        <v>1000</v>
      </c>
      <c r="X49">
        <v>0</v>
      </c>
      <c r="Y49">
        <v>0</v>
      </c>
      <c r="Z49">
        <v>0</v>
      </c>
      <c r="AA49">
        <v>0</v>
      </c>
      <c r="AB49">
        <v>0</v>
      </c>
      <c r="AC49">
        <v>1</v>
      </c>
      <c r="AD49">
        <v>0</v>
      </c>
      <c r="AE49">
        <v>0</v>
      </c>
      <c r="AF49" t="s">
        <v>2</v>
      </c>
      <c r="AG49">
        <v>0</v>
      </c>
      <c r="AH49">
        <v>3</v>
      </c>
      <c r="AI49">
        <v>-1</v>
      </c>
      <c r="AJ49" t="s">
        <v>2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 x14ac:dyDescent="0.2">
      <c r="A50">
        <f>ROW(Source!A42)</f>
        <v>42</v>
      </c>
      <c r="B50">
        <v>224527777</v>
      </c>
      <c r="C50">
        <v>224527767</v>
      </c>
      <c r="D50">
        <v>222895971</v>
      </c>
      <c r="E50">
        <v>70</v>
      </c>
      <c r="F50">
        <v>1</v>
      </c>
      <c r="G50">
        <v>1</v>
      </c>
      <c r="H50">
        <v>1</v>
      </c>
      <c r="I50" t="s">
        <v>622</v>
      </c>
      <c r="J50" t="s">
        <v>2</v>
      </c>
      <c r="K50" t="s">
        <v>623</v>
      </c>
      <c r="L50">
        <v>1191</v>
      </c>
      <c r="N50">
        <v>74472246</v>
      </c>
      <c r="O50" t="s">
        <v>600</v>
      </c>
      <c r="P50" t="s">
        <v>600</v>
      </c>
      <c r="Q50">
        <v>1</v>
      </c>
      <c r="X50">
        <v>13.8</v>
      </c>
      <c r="Y50">
        <v>0</v>
      </c>
      <c r="Z50">
        <v>0</v>
      </c>
      <c r="AA50">
        <v>0</v>
      </c>
      <c r="AB50">
        <v>8.9700000000000006</v>
      </c>
      <c r="AC50">
        <v>0</v>
      </c>
      <c r="AD50">
        <v>1</v>
      </c>
      <c r="AE50">
        <v>1</v>
      </c>
      <c r="AF50" t="s">
        <v>85</v>
      </c>
      <c r="AG50">
        <v>19.043999999999997</v>
      </c>
      <c r="AH50">
        <v>2</v>
      </c>
      <c r="AI50">
        <v>224527777</v>
      </c>
      <c r="AJ50">
        <v>43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 x14ac:dyDescent="0.2">
      <c r="A51">
        <f>ROW(Source!A42)</f>
        <v>42</v>
      </c>
      <c r="B51">
        <v>224527778</v>
      </c>
      <c r="C51">
        <v>224527767</v>
      </c>
      <c r="D51">
        <v>222896153</v>
      </c>
      <c r="E51">
        <v>70</v>
      </c>
      <c r="F51">
        <v>1</v>
      </c>
      <c r="G51">
        <v>1</v>
      </c>
      <c r="H51">
        <v>1</v>
      </c>
      <c r="I51" t="s">
        <v>607</v>
      </c>
      <c r="J51" t="s">
        <v>2</v>
      </c>
      <c r="K51" t="s">
        <v>608</v>
      </c>
      <c r="L51">
        <v>1191</v>
      </c>
      <c r="N51">
        <v>74472246</v>
      </c>
      <c r="O51" t="s">
        <v>600</v>
      </c>
      <c r="P51" t="s">
        <v>600</v>
      </c>
      <c r="Q51">
        <v>1</v>
      </c>
      <c r="X51">
        <v>0.09</v>
      </c>
      <c r="Y51">
        <v>0</v>
      </c>
      <c r="Z51">
        <v>0</v>
      </c>
      <c r="AA51">
        <v>0</v>
      </c>
      <c r="AB51">
        <v>0</v>
      </c>
      <c r="AC51">
        <v>0</v>
      </c>
      <c r="AD51">
        <v>1</v>
      </c>
      <c r="AE51">
        <v>2</v>
      </c>
      <c r="AF51" t="s">
        <v>65</v>
      </c>
      <c r="AG51">
        <v>0.13499999999999998</v>
      </c>
      <c r="AH51">
        <v>2</v>
      </c>
      <c r="AI51">
        <v>224527778</v>
      </c>
      <c r="AJ51">
        <v>44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 x14ac:dyDescent="0.2">
      <c r="A52">
        <f>ROW(Source!A42)</f>
        <v>42</v>
      </c>
      <c r="B52">
        <v>224527779</v>
      </c>
      <c r="C52">
        <v>224527767</v>
      </c>
      <c r="D52">
        <v>223058015</v>
      </c>
      <c r="E52">
        <v>1</v>
      </c>
      <c r="F52">
        <v>1</v>
      </c>
      <c r="G52">
        <v>1</v>
      </c>
      <c r="H52">
        <v>2</v>
      </c>
      <c r="I52" t="s">
        <v>613</v>
      </c>
      <c r="J52" t="s">
        <v>614</v>
      </c>
      <c r="K52" t="s">
        <v>615</v>
      </c>
      <c r="L52">
        <v>1367</v>
      </c>
      <c r="N52">
        <v>1011</v>
      </c>
      <c r="O52" t="s">
        <v>612</v>
      </c>
      <c r="P52" t="s">
        <v>612</v>
      </c>
      <c r="Q52">
        <v>1</v>
      </c>
      <c r="X52">
        <v>0.01</v>
      </c>
      <c r="Y52">
        <v>0</v>
      </c>
      <c r="Z52">
        <v>31.26</v>
      </c>
      <c r="AA52">
        <v>13.5</v>
      </c>
      <c r="AB52">
        <v>0</v>
      </c>
      <c r="AC52">
        <v>0</v>
      </c>
      <c r="AD52">
        <v>1</v>
      </c>
      <c r="AE52">
        <v>0</v>
      </c>
      <c r="AF52" t="s">
        <v>65</v>
      </c>
      <c r="AG52">
        <v>1.4999999999999999E-2</v>
      </c>
      <c r="AH52">
        <v>2</v>
      </c>
      <c r="AI52">
        <v>224527779</v>
      </c>
      <c r="AJ52">
        <v>45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 x14ac:dyDescent="0.2">
      <c r="A53">
        <f>ROW(Source!A42)</f>
        <v>42</v>
      </c>
      <c r="B53">
        <v>224527780</v>
      </c>
      <c r="C53">
        <v>224527767</v>
      </c>
      <c r="D53">
        <v>223058751</v>
      </c>
      <c r="E53">
        <v>1</v>
      </c>
      <c r="F53">
        <v>1</v>
      </c>
      <c r="G53">
        <v>1</v>
      </c>
      <c r="H53">
        <v>2</v>
      </c>
      <c r="I53" t="s">
        <v>624</v>
      </c>
      <c r="J53" t="s">
        <v>625</v>
      </c>
      <c r="K53" t="s">
        <v>626</v>
      </c>
      <c r="L53">
        <v>1367</v>
      </c>
      <c r="N53">
        <v>1011</v>
      </c>
      <c r="O53" t="s">
        <v>612</v>
      </c>
      <c r="P53" t="s">
        <v>612</v>
      </c>
      <c r="Q53">
        <v>1</v>
      </c>
      <c r="X53">
        <v>0.08</v>
      </c>
      <c r="Y53">
        <v>0</v>
      </c>
      <c r="Z53">
        <v>65.709999999999994</v>
      </c>
      <c r="AA53">
        <v>11.6</v>
      </c>
      <c r="AB53">
        <v>0</v>
      </c>
      <c r="AC53">
        <v>0</v>
      </c>
      <c r="AD53">
        <v>1</v>
      </c>
      <c r="AE53">
        <v>0</v>
      </c>
      <c r="AF53" t="s">
        <v>65</v>
      </c>
      <c r="AG53">
        <v>0.12</v>
      </c>
      <c r="AH53">
        <v>2</v>
      </c>
      <c r="AI53">
        <v>224527780</v>
      </c>
      <c r="AJ53">
        <v>46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 x14ac:dyDescent="0.2">
      <c r="A54">
        <f>ROW(Source!A42)</f>
        <v>42</v>
      </c>
      <c r="B54">
        <v>224527781</v>
      </c>
      <c r="C54">
        <v>224527767</v>
      </c>
      <c r="D54">
        <v>222911579</v>
      </c>
      <c r="E54">
        <v>1</v>
      </c>
      <c r="F54">
        <v>1</v>
      </c>
      <c r="G54">
        <v>1</v>
      </c>
      <c r="H54">
        <v>3</v>
      </c>
      <c r="I54" t="s">
        <v>627</v>
      </c>
      <c r="J54" t="s">
        <v>628</v>
      </c>
      <c r="K54" t="s">
        <v>629</v>
      </c>
      <c r="L54">
        <v>1327</v>
      </c>
      <c r="N54">
        <v>1005</v>
      </c>
      <c r="O54" t="s">
        <v>73</v>
      </c>
      <c r="P54" t="s">
        <v>73</v>
      </c>
      <c r="Q54">
        <v>1</v>
      </c>
      <c r="X54">
        <v>0.3</v>
      </c>
      <c r="Y54">
        <v>72.319999999999993</v>
      </c>
      <c r="Z54">
        <v>0</v>
      </c>
      <c r="AA54">
        <v>0</v>
      </c>
      <c r="AB54">
        <v>0</v>
      </c>
      <c r="AC54">
        <v>0</v>
      </c>
      <c r="AD54">
        <v>1</v>
      </c>
      <c r="AE54">
        <v>0</v>
      </c>
      <c r="AF54" t="s">
        <v>2</v>
      </c>
      <c r="AG54">
        <v>0.3</v>
      </c>
      <c r="AH54">
        <v>2</v>
      </c>
      <c r="AI54">
        <v>224527781</v>
      </c>
      <c r="AJ54">
        <v>47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 x14ac:dyDescent="0.2">
      <c r="A55">
        <f>ROW(Source!A42)</f>
        <v>42</v>
      </c>
      <c r="B55">
        <v>224527782</v>
      </c>
      <c r="C55">
        <v>224527767</v>
      </c>
      <c r="D55">
        <v>222911928</v>
      </c>
      <c r="E55">
        <v>1</v>
      </c>
      <c r="F55">
        <v>1</v>
      </c>
      <c r="G55">
        <v>1</v>
      </c>
      <c r="H55">
        <v>3</v>
      </c>
      <c r="I55" t="s">
        <v>630</v>
      </c>
      <c r="J55" t="s">
        <v>631</v>
      </c>
      <c r="K55" t="s">
        <v>632</v>
      </c>
      <c r="L55">
        <v>1346</v>
      </c>
      <c r="N55">
        <v>1009</v>
      </c>
      <c r="O55" t="s">
        <v>33</v>
      </c>
      <c r="P55" t="s">
        <v>33</v>
      </c>
      <c r="Q55">
        <v>1</v>
      </c>
      <c r="X55">
        <v>0.1</v>
      </c>
      <c r="Y55">
        <v>1.82</v>
      </c>
      <c r="Z55">
        <v>0</v>
      </c>
      <c r="AA55">
        <v>0</v>
      </c>
      <c r="AB55">
        <v>0</v>
      </c>
      <c r="AC55">
        <v>0</v>
      </c>
      <c r="AD55">
        <v>1</v>
      </c>
      <c r="AE55">
        <v>0</v>
      </c>
      <c r="AF55" t="s">
        <v>2</v>
      </c>
      <c r="AG55">
        <v>0.1</v>
      </c>
      <c r="AH55">
        <v>2</v>
      </c>
      <c r="AI55">
        <v>224527782</v>
      </c>
      <c r="AJ55">
        <v>48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 x14ac:dyDescent="0.2">
      <c r="A56">
        <f>ROW(Source!A42)</f>
        <v>42</v>
      </c>
      <c r="B56">
        <v>224527783</v>
      </c>
      <c r="C56">
        <v>224527767</v>
      </c>
      <c r="D56">
        <v>222899151</v>
      </c>
      <c r="E56">
        <v>70</v>
      </c>
      <c r="F56">
        <v>1</v>
      </c>
      <c r="G56">
        <v>1</v>
      </c>
      <c r="H56">
        <v>3</v>
      </c>
      <c r="I56" t="s">
        <v>768</v>
      </c>
      <c r="J56" t="s">
        <v>2</v>
      </c>
      <c r="K56" t="s">
        <v>769</v>
      </c>
      <c r="L56">
        <v>1348</v>
      </c>
      <c r="N56">
        <v>1009</v>
      </c>
      <c r="O56" t="s">
        <v>18</v>
      </c>
      <c r="P56" t="s">
        <v>18</v>
      </c>
      <c r="Q56">
        <v>1000</v>
      </c>
      <c r="X56">
        <v>5.1999999999999998E-2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 t="s">
        <v>2</v>
      </c>
      <c r="AG56">
        <v>5.1999999999999998E-2</v>
      </c>
      <c r="AH56">
        <v>3</v>
      </c>
      <c r="AI56">
        <v>-1</v>
      </c>
      <c r="AJ56" t="s">
        <v>2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 x14ac:dyDescent="0.2">
      <c r="A57">
        <f>ROW(Source!A42)</f>
        <v>42</v>
      </c>
      <c r="B57">
        <v>224527784</v>
      </c>
      <c r="C57">
        <v>224527767</v>
      </c>
      <c r="D57">
        <v>222940670</v>
      </c>
      <c r="E57">
        <v>1</v>
      </c>
      <c r="F57">
        <v>1</v>
      </c>
      <c r="G57">
        <v>1</v>
      </c>
      <c r="H57">
        <v>3</v>
      </c>
      <c r="I57" t="s">
        <v>633</v>
      </c>
      <c r="J57" t="s">
        <v>634</v>
      </c>
      <c r="K57" t="s">
        <v>635</v>
      </c>
      <c r="L57">
        <v>1348</v>
      </c>
      <c r="N57">
        <v>1009</v>
      </c>
      <c r="O57" t="s">
        <v>18</v>
      </c>
      <c r="P57" t="s">
        <v>18</v>
      </c>
      <c r="Q57">
        <v>1000</v>
      </c>
      <c r="X57">
        <v>5.0000000000000001E-3</v>
      </c>
      <c r="Y57">
        <v>4294</v>
      </c>
      <c r="Z57">
        <v>0</v>
      </c>
      <c r="AA57">
        <v>0</v>
      </c>
      <c r="AB57">
        <v>0</v>
      </c>
      <c r="AC57">
        <v>0</v>
      </c>
      <c r="AD57">
        <v>1</v>
      </c>
      <c r="AE57">
        <v>0</v>
      </c>
      <c r="AF57" t="s">
        <v>2</v>
      </c>
      <c r="AG57">
        <v>5.0000000000000001E-3</v>
      </c>
      <c r="AH57">
        <v>2</v>
      </c>
      <c r="AI57">
        <v>224527784</v>
      </c>
      <c r="AJ57">
        <v>49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 x14ac:dyDescent="0.2">
      <c r="A58">
        <f>ROW(Source!A44)</f>
        <v>44</v>
      </c>
      <c r="B58">
        <v>224527756</v>
      </c>
      <c r="C58">
        <v>224527715</v>
      </c>
      <c r="D58">
        <v>222895963</v>
      </c>
      <c r="E58">
        <v>70</v>
      </c>
      <c r="F58">
        <v>1</v>
      </c>
      <c r="G58">
        <v>1</v>
      </c>
      <c r="H58">
        <v>1</v>
      </c>
      <c r="I58" t="s">
        <v>647</v>
      </c>
      <c r="J58" t="s">
        <v>2</v>
      </c>
      <c r="K58" t="s">
        <v>648</v>
      </c>
      <c r="L58">
        <v>1191</v>
      </c>
      <c r="N58">
        <v>74472246</v>
      </c>
      <c r="O58" t="s">
        <v>600</v>
      </c>
      <c r="P58" t="s">
        <v>600</v>
      </c>
      <c r="Q58">
        <v>1</v>
      </c>
      <c r="X58">
        <v>37</v>
      </c>
      <c r="Y58">
        <v>0</v>
      </c>
      <c r="Z58">
        <v>0</v>
      </c>
      <c r="AA58">
        <v>0</v>
      </c>
      <c r="AB58">
        <v>8.5299999999999994</v>
      </c>
      <c r="AC58">
        <v>0</v>
      </c>
      <c r="AD58">
        <v>1</v>
      </c>
      <c r="AE58">
        <v>1</v>
      </c>
      <c r="AF58" t="s">
        <v>103</v>
      </c>
      <c r="AG58">
        <v>40.700000000000003</v>
      </c>
      <c r="AH58">
        <v>2</v>
      </c>
      <c r="AI58">
        <v>224527756</v>
      </c>
      <c r="AJ58">
        <v>50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 x14ac:dyDescent="0.2">
      <c r="A59">
        <f>ROW(Source!A44)</f>
        <v>44</v>
      </c>
      <c r="B59">
        <v>224527757</v>
      </c>
      <c r="C59">
        <v>224527715</v>
      </c>
      <c r="D59">
        <v>222896153</v>
      </c>
      <c r="E59">
        <v>70</v>
      </c>
      <c r="F59">
        <v>1</v>
      </c>
      <c r="G59">
        <v>1</v>
      </c>
      <c r="H59">
        <v>1</v>
      </c>
      <c r="I59" t="s">
        <v>607</v>
      </c>
      <c r="J59" t="s">
        <v>2</v>
      </c>
      <c r="K59" t="s">
        <v>608</v>
      </c>
      <c r="L59">
        <v>1191</v>
      </c>
      <c r="N59">
        <v>74472246</v>
      </c>
      <c r="O59" t="s">
        <v>600</v>
      </c>
      <c r="P59" t="s">
        <v>600</v>
      </c>
      <c r="Q59">
        <v>1</v>
      </c>
      <c r="X59">
        <v>0.75</v>
      </c>
      <c r="Y59">
        <v>0</v>
      </c>
      <c r="Z59">
        <v>0</v>
      </c>
      <c r="AA59">
        <v>0</v>
      </c>
      <c r="AB59">
        <v>0</v>
      </c>
      <c r="AC59">
        <v>0</v>
      </c>
      <c r="AD59">
        <v>1</v>
      </c>
      <c r="AE59">
        <v>2</v>
      </c>
      <c r="AF59" t="s">
        <v>2</v>
      </c>
      <c r="AG59">
        <v>0.75</v>
      </c>
      <c r="AH59">
        <v>2</v>
      </c>
      <c r="AI59">
        <v>224527757</v>
      </c>
      <c r="AJ59">
        <v>51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 x14ac:dyDescent="0.2">
      <c r="A60">
        <f>ROW(Source!A44)</f>
        <v>44</v>
      </c>
      <c r="B60">
        <v>224527758</v>
      </c>
      <c r="C60">
        <v>224527715</v>
      </c>
      <c r="D60">
        <v>223058015</v>
      </c>
      <c r="E60">
        <v>1</v>
      </c>
      <c r="F60">
        <v>1</v>
      </c>
      <c r="G60">
        <v>1</v>
      </c>
      <c r="H60">
        <v>2</v>
      </c>
      <c r="I60" t="s">
        <v>613</v>
      </c>
      <c r="J60" t="s">
        <v>614</v>
      </c>
      <c r="K60" t="s">
        <v>615</v>
      </c>
      <c r="L60">
        <v>1367</v>
      </c>
      <c r="N60">
        <v>1011</v>
      </c>
      <c r="O60" t="s">
        <v>612</v>
      </c>
      <c r="P60" t="s">
        <v>612</v>
      </c>
      <c r="Q60">
        <v>1</v>
      </c>
      <c r="X60">
        <v>0.75</v>
      </c>
      <c r="Y60">
        <v>0</v>
      </c>
      <c r="Z60">
        <v>31.26</v>
      </c>
      <c r="AA60">
        <v>13.5</v>
      </c>
      <c r="AB60">
        <v>0</v>
      </c>
      <c r="AC60">
        <v>0</v>
      </c>
      <c r="AD60">
        <v>1</v>
      </c>
      <c r="AE60">
        <v>0</v>
      </c>
      <c r="AF60" t="s">
        <v>2</v>
      </c>
      <c r="AG60">
        <v>0.75</v>
      </c>
      <c r="AH60">
        <v>2</v>
      </c>
      <c r="AI60">
        <v>224527758</v>
      </c>
      <c r="AJ60">
        <v>52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 x14ac:dyDescent="0.2">
      <c r="A61">
        <f>ROW(Source!A45)</f>
        <v>45</v>
      </c>
      <c r="B61">
        <v>224527734</v>
      </c>
      <c r="C61">
        <v>224527722</v>
      </c>
      <c r="D61">
        <v>178397835</v>
      </c>
      <c r="E61">
        <v>1</v>
      </c>
      <c r="F61">
        <v>1</v>
      </c>
      <c r="G61">
        <v>1</v>
      </c>
      <c r="H61">
        <v>1</v>
      </c>
      <c r="I61" t="s">
        <v>655</v>
      </c>
      <c r="J61" t="s">
        <v>2</v>
      </c>
      <c r="K61" t="s">
        <v>656</v>
      </c>
      <c r="L61">
        <v>1191</v>
      </c>
      <c r="N61">
        <v>74472246</v>
      </c>
      <c r="O61" t="s">
        <v>600</v>
      </c>
      <c r="P61" t="s">
        <v>600</v>
      </c>
      <c r="Q61">
        <v>1</v>
      </c>
      <c r="X61">
        <v>167.86</v>
      </c>
      <c r="Y61">
        <v>0</v>
      </c>
      <c r="Z61">
        <v>0</v>
      </c>
      <c r="AA61">
        <v>0</v>
      </c>
      <c r="AB61">
        <v>8.74</v>
      </c>
      <c r="AC61">
        <v>0</v>
      </c>
      <c r="AD61">
        <v>1</v>
      </c>
      <c r="AE61">
        <v>1</v>
      </c>
      <c r="AF61" t="s">
        <v>85</v>
      </c>
      <c r="AG61">
        <v>231.64679999999998</v>
      </c>
      <c r="AH61">
        <v>2</v>
      </c>
      <c r="AI61">
        <v>224527723</v>
      </c>
      <c r="AJ61">
        <v>53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 x14ac:dyDescent="0.2">
      <c r="A62">
        <f>ROW(Source!A45)</f>
        <v>45</v>
      </c>
      <c r="B62">
        <v>224527735</v>
      </c>
      <c r="C62">
        <v>224527722</v>
      </c>
      <c r="D62">
        <v>178392216</v>
      </c>
      <c r="E62">
        <v>1</v>
      </c>
      <c r="F62">
        <v>1</v>
      </c>
      <c r="G62">
        <v>1</v>
      </c>
      <c r="H62">
        <v>1</v>
      </c>
      <c r="I62" t="s">
        <v>607</v>
      </c>
      <c r="J62" t="s">
        <v>2</v>
      </c>
      <c r="K62" t="s">
        <v>608</v>
      </c>
      <c r="L62">
        <v>1191</v>
      </c>
      <c r="N62">
        <v>74472246</v>
      </c>
      <c r="O62" t="s">
        <v>600</v>
      </c>
      <c r="P62" t="s">
        <v>600</v>
      </c>
      <c r="Q62">
        <v>1</v>
      </c>
      <c r="X62">
        <v>1.3</v>
      </c>
      <c r="Y62">
        <v>0</v>
      </c>
      <c r="Z62">
        <v>0</v>
      </c>
      <c r="AA62">
        <v>0</v>
      </c>
      <c r="AB62">
        <v>0</v>
      </c>
      <c r="AC62">
        <v>0</v>
      </c>
      <c r="AD62">
        <v>1</v>
      </c>
      <c r="AE62">
        <v>2</v>
      </c>
      <c r="AF62" t="s">
        <v>65</v>
      </c>
      <c r="AG62">
        <v>1.95</v>
      </c>
      <c r="AH62">
        <v>2</v>
      </c>
      <c r="AI62">
        <v>224527724</v>
      </c>
      <c r="AJ62">
        <v>54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 x14ac:dyDescent="0.2">
      <c r="A63">
        <f>ROW(Source!A45)</f>
        <v>45</v>
      </c>
      <c r="B63">
        <v>224527736</v>
      </c>
      <c r="C63">
        <v>224527722</v>
      </c>
      <c r="D63">
        <v>178209553</v>
      </c>
      <c r="E63">
        <v>1</v>
      </c>
      <c r="F63">
        <v>1</v>
      </c>
      <c r="G63">
        <v>1</v>
      </c>
      <c r="H63">
        <v>2</v>
      </c>
      <c r="I63" t="s">
        <v>657</v>
      </c>
      <c r="J63" t="s">
        <v>658</v>
      </c>
      <c r="K63" t="s">
        <v>659</v>
      </c>
      <c r="L63">
        <v>1368</v>
      </c>
      <c r="N63">
        <v>1011</v>
      </c>
      <c r="O63" t="s">
        <v>660</v>
      </c>
      <c r="P63" t="s">
        <v>660</v>
      </c>
      <c r="Q63">
        <v>1</v>
      </c>
      <c r="X63">
        <v>0.52</v>
      </c>
      <c r="Y63">
        <v>0</v>
      </c>
      <c r="Z63">
        <v>111.99</v>
      </c>
      <c r="AA63">
        <v>13.5</v>
      </c>
      <c r="AB63">
        <v>0</v>
      </c>
      <c r="AC63">
        <v>0</v>
      </c>
      <c r="AD63">
        <v>1</v>
      </c>
      <c r="AE63">
        <v>0</v>
      </c>
      <c r="AF63" t="s">
        <v>65</v>
      </c>
      <c r="AG63">
        <v>0.78</v>
      </c>
      <c r="AH63">
        <v>2</v>
      </c>
      <c r="AI63">
        <v>224527725</v>
      </c>
      <c r="AJ63">
        <v>55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 x14ac:dyDescent="0.2">
      <c r="A64">
        <f>ROW(Source!A45)</f>
        <v>45</v>
      </c>
      <c r="B64">
        <v>224527737</v>
      </c>
      <c r="C64">
        <v>224527722</v>
      </c>
      <c r="D64">
        <v>178209746</v>
      </c>
      <c r="E64">
        <v>1</v>
      </c>
      <c r="F64">
        <v>1</v>
      </c>
      <c r="G64">
        <v>1</v>
      </c>
      <c r="H64">
        <v>2</v>
      </c>
      <c r="I64" t="s">
        <v>661</v>
      </c>
      <c r="J64" t="s">
        <v>662</v>
      </c>
      <c r="K64" t="s">
        <v>663</v>
      </c>
      <c r="L64">
        <v>1368</v>
      </c>
      <c r="N64">
        <v>1011</v>
      </c>
      <c r="O64" t="s">
        <v>660</v>
      </c>
      <c r="P64" t="s">
        <v>660</v>
      </c>
      <c r="Q64">
        <v>1</v>
      </c>
      <c r="X64">
        <v>0.39</v>
      </c>
      <c r="Y64">
        <v>0</v>
      </c>
      <c r="Z64">
        <v>6.66</v>
      </c>
      <c r="AA64">
        <v>0</v>
      </c>
      <c r="AB64">
        <v>0</v>
      </c>
      <c r="AC64">
        <v>0</v>
      </c>
      <c r="AD64">
        <v>1</v>
      </c>
      <c r="AE64">
        <v>0</v>
      </c>
      <c r="AF64" t="s">
        <v>65</v>
      </c>
      <c r="AG64">
        <v>0.58500000000000008</v>
      </c>
      <c r="AH64">
        <v>2</v>
      </c>
      <c r="AI64">
        <v>224527726</v>
      </c>
      <c r="AJ64">
        <v>56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 x14ac:dyDescent="0.2">
      <c r="A65">
        <f>ROW(Source!A45)</f>
        <v>45</v>
      </c>
      <c r="B65">
        <v>224527738</v>
      </c>
      <c r="C65">
        <v>224527722</v>
      </c>
      <c r="D65">
        <v>178210938</v>
      </c>
      <c r="E65">
        <v>1</v>
      </c>
      <c r="F65">
        <v>1</v>
      </c>
      <c r="G65">
        <v>1</v>
      </c>
      <c r="H65">
        <v>2</v>
      </c>
      <c r="I65" t="s">
        <v>624</v>
      </c>
      <c r="J65" t="s">
        <v>664</v>
      </c>
      <c r="K65" t="s">
        <v>626</v>
      </c>
      <c r="L65">
        <v>1368</v>
      </c>
      <c r="N65">
        <v>1011</v>
      </c>
      <c r="O65" t="s">
        <v>660</v>
      </c>
      <c r="P65" t="s">
        <v>660</v>
      </c>
      <c r="Q65">
        <v>1</v>
      </c>
      <c r="X65">
        <v>0.78</v>
      </c>
      <c r="Y65">
        <v>0</v>
      </c>
      <c r="Z65">
        <v>65.709999999999994</v>
      </c>
      <c r="AA65">
        <v>11.6</v>
      </c>
      <c r="AB65">
        <v>0</v>
      </c>
      <c r="AC65">
        <v>0</v>
      </c>
      <c r="AD65">
        <v>1</v>
      </c>
      <c r="AE65">
        <v>0</v>
      </c>
      <c r="AF65" t="s">
        <v>65</v>
      </c>
      <c r="AG65">
        <v>1.1700000000000002</v>
      </c>
      <c r="AH65">
        <v>2</v>
      </c>
      <c r="AI65">
        <v>224527727</v>
      </c>
      <c r="AJ65">
        <v>57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 x14ac:dyDescent="0.2">
      <c r="A66">
        <f>ROW(Source!A45)</f>
        <v>45</v>
      </c>
      <c r="B66">
        <v>224527739</v>
      </c>
      <c r="C66">
        <v>224527722</v>
      </c>
      <c r="D66">
        <v>178211242</v>
      </c>
      <c r="E66">
        <v>1</v>
      </c>
      <c r="F66">
        <v>1</v>
      </c>
      <c r="G66">
        <v>1</v>
      </c>
      <c r="H66">
        <v>2</v>
      </c>
      <c r="I66" t="s">
        <v>665</v>
      </c>
      <c r="J66" t="s">
        <v>666</v>
      </c>
      <c r="K66" t="s">
        <v>667</v>
      </c>
      <c r="L66">
        <v>1368</v>
      </c>
      <c r="N66">
        <v>1011</v>
      </c>
      <c r="O66" t="s">
        <v>660</v>
      </c>
      <c r="P66" t="s">
        <v>660</v>
      </c>
      <c r="Q66">
        <v>1</v>
      </c>
      <c r="X66">
        <v>1.79</v>
      </c>
      <c r="Y66">
        <v>0</v>
      </c>
      <c r="Z66">
        <v>8.1</v>
      </c>
      <c r="AA66">
        <v>0</v>
      </c>
      <c r="AB66">
        <v>0</v>
      </c>
      <c r="AC66">
        <v>0</v>
      </c>
      <c r="AD66">
        <v>1</v>
      </c>
      <c r="AE66">
        <v>0</v>
      </c>
      <c r="AF66" t="s">
        <v>65</v>
      </c>
      <c r="AG66">
        <v>2.6849999999999996</v>
      </c>
      <c r="AH66">
        <v>2</v>
      </c>
      <c r="AI66">
        <v>224527728</v>
      </c>
      <c r="AJ66">
        <v>58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 x14ac:dyDescent="0.2">
      <c r="A67">
        <f>ROW(Source!A45)</f>
        <v>45</v>
      </c>
      <c r="B67">
        <v>224527740</v>
      </c>
      <c r="C67">
        <v>224527722</v>
      </c>
      <c r="D67">
        <v>178127162</v>
      </c>
      <c r="E67">
        <v>1</v>
      </c>
      <c r="F67">
        <v>1</v>
      </c>
      <c r="G67">
        <v>1</v>
      </c>
      <c r="H67">
        <v>3</v>
      </c>
      <c r="I67" t="s">
        <v>668</v>
      </c>
      <c r="J67" t="s">
        <v>669</v>
      </c>
      <c r="K67" t="s">
        <v>670</v>
      </c>
      <c r="L67">
        <v>1348</v>
      </c>
      <c r="N67">
        <v>1009</v>
      </c>
      <c r="O67" t="s">
        <v>18</v>
      </c>
      <c r="P67" t="s">
        <v>18</v>
      </c>
      <c r="Q67">
        <v>1000</v>
      </c>
      <c r="X67">
        <v>8.8999999999999995E-4</v>
      </c>
      <c r="Y67">
        <v>26499</v>
      </c>
      <c r="Z67">
        <v>0</v>
      </c>
      <c r="AA67">
        <v>0</v>
      </c>
      <c r="AB67">
        <v>0</v>
      </c>
      <c r="AC67">
        <v>0</v>
      </c>
      <c r="AD67">
        <v>1</v>
      </c>
      <c r="AE67">
        <v>0</v>
      </c>
      <c r="AF67" t="s">
        <v>2</v>
      </c>
      <c r="AG67">
        <v>8.8999999999999995E-4</v>
      </c>
      <c r="AH67">
        <v>2</v>
      </c>
      <c r="AI67">
        <v>224527729</v>
      </c>
      <c r="AJ67">
        <v>59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 x14ac:dyDescent="0.2">
      <c r="A68">
        <f>ROW(Source!A45)</f>
        <v>45</v>
      </c>
      <c r="B68">
        <v>224527741</v>
      </c>
      <c r="C68">
        <v>224527722</v>
      </c>
      <c r="D68">
        <v>178130753</v>
      </c>
      <c r="E68">
        <v>1</v>
      </c>
      <c r="F68">
        <v>1</v>
      </c>
      <c r="G68">
        <v>1</v>
      </c>
      <c r="H68">
        <v>3</v>
      </c>
      <c r="I68" t="s">
        <v>671</v>
      </c>
      <c r="J68" t="s">
        <v>672</v>
      </c>
      <c r="K68" t="s">
        <v>673</v>
      </c>
      <c r="L68">
        <v>1348</v>
      </c>
      <c r="N68">
        <v>1009</v>
      </c>
      <c r="O68" t="s">
        <v>18</v>
      </c>
      <c r="P68" t="s">
        <v>18</v>
      </c>
      <c r="Q68">
        <v>1000</v>
      </c>
      <c r="X68">
        <v>4.4999999999999999E-4</v>
      </c>
      <c r="Y68">
        <v>10362</v>
      </c>
      <c r="Z68">
        <v>0</v>
      </c>
      <c r="AA68">
        <v>0</v>
      </c>
      <c r="AB68">
        <v>0</v>
      </c>
      <c r="AC68">
        <v>0</v>
      </c>
      <c r="AD68">
        <v>1</v>
      </c>
      <c r="AE68">
        <v>0</v>
      </c>
      <c r="AF68" t="s">
        <v>2</v>
      </c>
      <c r="AG68">
        <v>4.4999999999999999E-4</v>
      </c>
      <c r="AH68">
        <v>2</v>
      </c>
      <c r="AI68">
        <v>224527730</v>
      </c>
      <c r="AJ68">
        <v>60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 x14ac:dyDescent="0.2">
      <c r="A69">
        <f>ROW(Source!A45)</f>
        <v>45</v>
      </c>
      <c r="B69">
        <v>224527742</v>
      </c>
      <c r="C69">
        <v>224527722</v>
      </c>
      <c r="D69">
        <v>178131929</v>
      </c>
      <c r="E69">
        <v>1</v>
      </c>
      <c r="F69">
        <v>1</v>
      </c>
      <c r="G69">
        <v>1</v>
      </c>
      <c r="H69">
        <v>3</v>
      </c>
      <c r="I69" t="s">
        <v>674</v>
      </c>
      <c r="J69" t="s">
        <v>675</v>
      </c>
      <c r="K69" t="s">
        <v>676</v>
      </c>
      <c r="L69">
        <v>1348</v>
      </c>
      <c r="N69">
        <v>1009</v>
      </c>
      <c r="O69" t="s">
        <v>18</v>
      </c>
      <c r="P69" t="s">
        <v>18</v>
      </c>
      <c r="Q69">
        <v>1000</v>
      </c>
      <c r="X69">
        <v>1.4999999999999999E-2</v>
      </c>
      <c r="Y69">
        <v>9040.01</v>
      </c>
      <c r="Z69">
        <v>0</v>
      </c>
      <c r="AA69">
        <v>0</v>
      </c>
      <c r="AB69">
        <v>0</v>
      </c>
      <c r="AC69">
        <v>0</v>
      </c>
      <c r="AD69">
        <v>1</v>
      </c>
      <c r="AE69">
        <v>0</v>
      </c>
      <c r="AF69" t="s">
        <v>2</v>
      </c>
      <c r="AG69">
        <v>1.4999999999999999E-2</v>
      </c>
      <c r="AH69">
        <v>2</v>
      </c>
      <c r="AI69">
        <v>224527731</v>
      </c>
      <c r="AJ69">
        <v>61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 x14ac:dyDescent="0.2">
      <c r="A70">
        <f>ROW(Source!A45)</f>
        <v>45</v>
      </c>
      <c r="B70">
        <v>224527743</v>
      </c>
      <c r="C70">
        <v>224527722</v>
      </c>
      <c r="D70">
        <v>178132810</v>
      </c>
      <c r="E70">
        <v>1</v>
      </c>
      <c r="F70">
        <v>1</v>
      </c>
      <c r="G70">
        <v>1</v>
      </c>
      <c r="H70">
        <v>3</v>
      </c>
      <c r="I70" t="s">
        <v>677</v>
      </c>
      <c r="J70" t="s">
        <v>678</v>
      </c>
      <c r="K70" t="s">
        <v>679</v>
      </c>
      <c r="L70">
        <v>1346</v>
      </c>
      <c r="N70">
        <v>1009</v>
      </c>
      <c r="O70" t="s">
        <v>33</v>
      </c>
      <c r="P70" t="s">
        <v>33</v>
      </c>
      <c r="Q70">
        <v>1</v>
      </c>
      <c r="X70">
        <v>8</v>
      </c>
      <c r="Y70">
        <v>23.09</v>
      </c>
      <c r="Z70">
        <v>0</v>
      </c>
      <c r="AA70">
        <v>0</v>
      </c>
      <c r="AB70">
        <v>0</v>
      </c>
      <c r="AC70">
        <v>0</v>
      </c>
      <c r="AD70">
        <v>1</v>
      </c>
      <c r="AE70">
        <v>0</v>
      </c>
      <c r="AF70" t="s">
        <v>2</v>
      </c>
      <c r="AG70">
        <v>8</v>
      </c>
      <c r="AH70">
        <v>2</v>
      </c>
      <c r="AI70">
        <v>224527732</v>
      </c>
      <c r="AJ70">
        <v>62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 x14ac:dyDescent="0.2">
      <c r="A71">
        <f>ROW(Source!A45)</f>
        <v>45</v>
      </c>
      <c r="B71">
        <v>224527744</v>
      </c>
      <c r="C71">
        <v>224527722</v>
      </c>
      <c r="D71">
        <v>178125303</v>
      </c>
      <c r="E71">
        <v>17</v>
      </c>
      <c r="F71">
        <v>1</v>
      </c>
      <c r="G71">
        <v>1</v>
      </c>
      <c r="H71">
        <v>3</v>
      </c>
      <c r="I71" t="s">
        <v>774</v>
      </c>
      <c r="J71" t="s">
        <v>2</v>
      </c>
      <c r="K71" t="s">
        <v>775</v>
      </c>
      <c r="L71">
        <v>1327</v>
      </c>
      <c r="N71">
        <v>1005</v>
      </c>
      <c r="O71" t="s">
        <v>73</v>
      </c>
      <c r="P71" t="s">
        <v>73</v>
      </c>
      <c r="Q71">
        <v>1</v>
      </c>
      <c r="X71">
        <v>0</v>
      </c>
      <c r="Y71">
        <v>0</v>
      </c>
      <c r="Z71">
        <v>0</v>
      </c>
      <c r="AA71">
        <v>0</v>
      </c>
      <c r="AB71">
        <v>0</v>
      </c>
      <c r="AC71">
        <v>1</v>
      </c>
      <c r="AD71">
        <v>0</v>
      </c>
      <c r="AE71">
        <v>0</v>
      </c>
      <c r="AF71" t="s">
        <v>2</v>
      </c>
      <c r="AG71">
        <v>0</v>
      </c>
      <c r="AH71">
        <v>3</v>
      </c>
      <c r="AI71">
        <v>-1</v>
      </c>
      <c r="AJ71" t="s">
        <v>2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 x14ac:dyDescent="0.2">
      <c r="A72">
        <f>ROW(Source!A45)</f>
        <v>45</v>
      </c>
      <c r="B72">
        <v>224527745</v>
      </c>
      <c r="C72">
        <v>224527722</v>
      </c>
      <c r="D72">
        <v>178166332</v>
      </c>
      <c r="E72">
        <v>1</v>
      </c>
      <c r="F72">
        <v>1</v>
      </c>
      <c r="G72">
        <v>1</v>
      </c>
      <c r="H72">
        <v>3</v>
      </c>
      <c r="I72" t="s">
        <v>680</v>
      </c>
      <c r="J72" t="s">
        <v>681</v>
      </c>
      <c r="K72" t="s">
        <v>682</v>
      </c>
      <c r="L72">
        <v>1348</v>
      </c>
      <c r="N72">
        <v>1009</v>
      </c>
      <c r="O72" t="s">
        <v>18</v>
      </c>
      <c r="P72" t="s">
        <v>18</v>
      </c>
      <c r="Q72">
        <v>1000</v>
      </c>
      <c r="X72">
        <v>5.0099999999999997E-3</v>
      </c>
      <c r="Y72">
        <v>17183</v>
      </c>
      <c r="Z72">
        <v>0</v>
      </c>
      <c r="AA72">
        <v>0</v>
      </c>
      <c r="AB72">
        <v>0</v>
      </c>
      <c r="AC72">
        <v>0</v>
      </c>
      <c r="AD72">
        <v>1</v>
      </c>
      <c r="AE72">
        <v>0</v>
      </c>
      <c r="AF72" t="s">
        <v>2</v>
      </c>
      <c r="AG72">
        <v>5.0099999999999997E-3</v>
      </c>
      <c r="AH72">
        <v>2</v>
      </c>
      <c r="AI72">
        <v>224527733</v>
      </c>
      <c r="AJ72">
        <v>63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 x14ac:dyDescent="0.2">
      <c r="A73">
        <f>ROW(Source!A45)</f>
        <v>45</v>
      </c>
      <c r="B73">
        <v>224527746</v>
      </c>
      <c r="C73">
        <v>224527722</v>
      </c>
      <c r="D73">
        <v>178125107</v>
      </c>
      <c r="E73">
        <v>17</v>
      </c>
      <c r="F73">
        <v>1</v>
      </c>
      <c r="G73">
        <v>1</v>
      </c>
      <c r="H73">
        <v>3</v>
      </c>
      <c r="I73" t="s">
        <v>776</v>
      </c>
      <c r="J73" t="s">
        <v>2</v>
      </c>
      <c r="K73" t="s">
        <v>777</v>
      </c>
      <c r="L73">
        <v>1346</v>
      </c>
      <c r="N73">
        <v>1009</v>
      </c>
      <c r="O73" t="s">
        <v>33</v>
      </c>
      <c r="P73" t="s">
        <v>33</v>
      </c>
      <c r="Q73">
        <v>1</v>
      </c>
      <c r="X73">
        <v>0</v>
      </c>
      <c r="Y73">
        <v>0</v>
      </c>
      <c r="Z73">
        <v>0</v>
      </c>
      <c r="AA73">
        <v>0</v>
      </c>
      <c r="AB73">
        <v>0</v>
      </c>
      <c r="AC73">
        <v>1</v>
      </c>
      <c r="AD73">
        <v>0</v>
      </c>
      <c r="AE73">
        <v>0</v>
      </c>
      <c r="AF73" t="s">
        <v>2</v>
      </c>
      <c r="AG73">
        <v>0</v>
      </c>
      <c r="AH73">
        <v>3</v>
      </c>
      <c r="AI73">
        <v>-1</v>
      </c>
      <c r="AJ73" t="s">
        <v>2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 x14ac:dyDescent="0.2">
      <c r="A74">
        <f>ROW(Source!A45)</f>
        <v>45</v>
      </c>
      <c r="B74">
        <v>224527747</v>
      </c>
      <c r="C74">
        <v>224527722</v>
      </c>
      <c r="D74">
        <v>178125304</v>
      </c>
      <c r="E74">
        <v>17</v>
      </c>
      <c r="F74">
        <v>1</v>
      </c>
      <c r="G74">
        <v>1</v>
      </c>
      <c r="H74">
        <v>3</v>
      </c>
      <c r="I74" t="s">
        <v>778</v>
      </c>
      <c r="J74" t="s">
        <v>2</v>
      </c>
      <c r="K74" t="s">
        <v>779</v>
      </c>
      <c r="L74">
        <v>1327</v>
      </c>
      <c r="N74">
        <v>1005</v>
      </c>
      <c r="O74" t="s">
        <v>73</v>
      </c>
      <c r="P74" t="s">
        <v>73</v>
      </c>
      <c r="Q74">
        <v>1</v>
      </c>
      <c r="X74">
        <v>100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 t="s">
        <v>2</v>
      </c>
      <c r="AG74">
        <v>100</v>
      </c>
      <c r="AH74">
        <v>3</v>
      </c>
      <c r="AI74">
        <v>-1</v>
      </c>
      <c r="AJ74" t="s">
        <v>2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 x14ac:dyDescent="0.2">
      <c r="A75">
        <f>ROW(Source!A45)</f>
        <v>45</v>
      </c>
      <c r="B75">
        <v>224527748</v>
      </c>
      <c r="C75">
        <v>224527722</v>
      </c>
      <c r="D75">
        <v>178125307</v>
      </c>
      <c r="E75">
        <v>17</v>
      </c>
      <c r="F75">
        <v>1</v>
      </c>
      <c r="G75">
        <v>1</v>
      </c>
      <c r="H75">
        <v>3</v>
      </c>
      <c r="I75" t="s">
        <v>780</v>
      </c>
      <c r="J75" t="s">
        <v>2</v>
      </c>
      <c r="K75" t="s">
        <v>781</v>
      </c>
      <c r="L75">
        <v>1354</v>
      </c>
      <c r="N75">
        <v>76783583</v>
      </c>
      <c r="O75" t="s">
        <v>782</v>
      </c>
      <c r="P75" t="s">
        <v>782</v>
      </c>
      <c r="Q75">
        <v>1</v>
      </c>
      <c r="X75">
        <v>0</v>
      </c>
      <c r="Y75">
        <v>0</v>
      </c>
      <c r="Z75">
        <v>0</v>
      </c>
      <c r="AA75">
        <v>0</v>
      </c>
      <c r="AB75">
        <v>0</v>
      </c>
      <c r="AC75">
        <v>1</v>
      </c>
      <c r="AD75">
        <v>0</v>
      </c>
      <c r="AE75">
        <v>0</v>
      </c>
      <c r="AF75" t="s">
        <v>2</v>
      </c>
      <c r="AG75">
        <v>0</v>
      </c>
      <c r="AH75">
        <v>3</v>
      </c>
      <c r="AI75">
        <v>-1</v>
      </c>
      <c r="AJ75" t="s">
        <v>2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 x14ac:dyDescent="0.2">
      <c r="A76">
        <f>ROW(Source!A45)</f>
        <v>45</v>
      </c>
      <c r="B76">
        <v>224527749</v>
      </c>
      <c r="C76">
        <v>224527722</v>
      </c>
      <c r="D76">
        <v>178125310</v>
      </c>
      <c r="E76">
        <v>17</v>
      </c>
      <c r="F76">
        <v>1</v>
      </c>
      <c r="G76">
        <v>1</v>
      </c>
      <c r="H76">
        <v>3</v>
      </c>
      <c r="I76" t="s">
        <v>783</v>
      </c>
      <c r="J76" t="s">
        <v>2</v>
      </c>
      <c r="K76" t="s">
        <v>784</v>
      </c>
      <c r="L76">
        <v>1354</v>
      </c>
      <c r="N76">
        <v>76783583</v>
      </c>
      <c r="O76" t="s">
        <v>782</v>
      </c>
      <c r="P76" t="s">
        <v>782</v>
      </c>
      <c r="Q76">
        <v>1</v>
      </c>
      <c r="X76">
        <v>0</v>
      </c>
      <c r="Y76">
        <v>0</v>
      </c>
      <c r="Z76">
        <v>0</v>
      </c>
      <c r="AA76">
        <v>0</v>
      </c>
      <c r="AB76">
        <v>0</v>
      </c>
      <c r="AC76">
        <v>1</v>
      </c>
      <c r="AD76">
        <v>0</v>
      </c>
      <c r="AE76">
        <v>0</v>
      </c>
      <c r="AF76" t="s">
        <v>2</v>
      </c>
      <c r="AG76">
        <v>0</v>
      </c>
      <c r="AH76">
        <v>3</v>
      </c>
      <c r="AI76">
        <v>-1</v>
      </c>
      <c r="AJ76" t="s">
        <v>2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 x14ac:dyDescent="0.2">
      <c r="A77">
        <f>ROW(Source!A45)</f>
        <v>45</v>
      </c>
      <c r="B77">
        <v>224527750</v>
      </c>
      <c r="C77">
        <v>224527722</v>
      </c>
      <c r="D77">
        <v>178125313</v>
      </c>
      <c r="E77">
        <v>17</v>
      </c>
      <c r="F77">
        <v>1</v>
      </c>
      <c r="G77">
        <v>1</v>
      </c>
      <c r="H77">
        <v>3</v>
      </c>
      <c r="I77" t="s">
        <v>785</v>
      </c>
      <c r="J77" t="s">
        <v>2</v>
      </c>
      <c r="K77" t="s">
        <v>786</v>
      </c>
      <c r="L77">
        <v>1354</v>
      </c>
      <c r="N77">
        <v>76783583</v>
      </c>
      <c r="O77" t="s">
        <v>782</v>
      </c>
      <c r="P77" t="s">
        <v>782</v>
      </c>
      <c r="Q77">
        <v>1</v>
      </c>
      <c r="X77">
        <v>0</v>
      </c>
      <c r="Y77">
        <v>0</v>
      </c>
      <c r="Z77">
        <v>0</v>
      </c>
      <c r="AA77">
        <v>0</v>
      </c>
      <c r="AB77">
        <v>0</v>
      </c>
      <c r="AC77">
        <v>1</v>
      </c>
      <c r="AD77">
        <v>0</v>
      </c>
      <c r="AE77">
        <v>0</v>
      </c>
      <c r="AF77" t="s">
        <v>2</v>
      </c>
      <c r="AG77">
        <v>0</v>
      </c>
      <c r="AH77">
        <v>3</v>
      </c>
      <c r="AI77">
        <v>-1</v>
      </c>
      <c r="AJ77" t="s">
        <v>2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 x14ac:dyDescent="0.2">
      <c r="A78">
        <f>ROW(Source!A82)</f>
        <v>82</v>
      </c>
      <c r="B78">
        <v>224527920</v>
      </c>
      <c r="C78">
        <v>224527870</v>
      </c>
      <c r="D78">
        <v>222895965</v>
      </c>
      <c r="E78">
        <v>70</v>
      </c>
      <c r="F78">
        <v>1</v>
      </c>
      <c r="G78">
        <v>1</v>
      </c>
      <c r="H78">
        <v>1</v>
      </c>
      <c r="I78" t="s">
        <v>683</v>
      </c>
      <c r="J78" t="s">
        <v>2</v>
      </c>
      <c r="K78" t="s">
        <v>684</v>
      </c>
      <c r="L78">
        <v>1191</v>
      </c>
      <c r="N78">
        <v>74472246</v>
      </c>
      <c r="O78" t="s">
        <v>600</v>
      </c>
      <c r="P78" t="s">
        <v>600</v>
      </c>
      <c r="Q78">
        <v>1</v>
      </c>
      <c r="X78">
        <v>30.1</v>
      </c>
      <c r="Y78">
        <v>0</v>
      </c>
      <c r="Z78">
        <v>0</v>
      </c>
      <c r="AA78">
        <v>0</v>
      </c>
      <c r="AB78">
        <v>8.64</v>
      </c>
      <c r="AC78">
        <v>0</v>
      </c>
      <c r="AD78">
        <v>1</v>
      </c>
      <c r="AE78">
        <v>1</v>
      </c>
      <c r="AF78" t="s">
        <v>179</v>
      </c>
      <c r="AG78">
        <v>34.615000000000002</v>
      </c>
      <c r="AH78">
        <v>2</v>
      </c>
      <c r="AI78">
        <v>224527920</v>
      </c>
      <c r="AJ78">
        <v>64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 x14ac:dyDescent="0.2">
      <c r="A79">
        <f>ROW(Source!A82)</f>
        <v>82</v>
      </c>
      <c r="B79">
        <v>224527921</v>
      </c>
      <c r="C79">
        <v>224527870</v>
      </c>
      <c r="D79">
        <v>222896153</v>
      </c>
      <c r="E79">
        <v>70</v>
      </c>
      <c r="F79">
        <v>1</v>
      </c>
      <c r="G79">
        <v>1</v>
      </c>
      <c r="H79">
        <v>1</v>
      </c>
      <c r="I79" t="s">
        <v>607</v>
      </c>
      <c r="J79" t="s">
        <v>2</v>
      </c>
      <c r="K79" t="s">
        <v>608</v>
      </c>
      <c r="L79">
        <v>1191</v>
      </c>
      <c r="N79">
        <v>74472246</v>
      </c>
      <c r="O79" t="s">
        <v>600</v>
      </c>
      <c r="P79" t="s">
        <v>600</v>
      </c>
      <c r="Q79">
        <v>1</v>
      </c>
      <c r="X79">
        <v>0.16</v>
      </c>
      <c r="Y79">
        <v>0</v>
      </c>
      <c r="Z79">
        <v>0</v>
      </c>
      <c r="AA79">
        <v>0</v>
      </c>
      <c r="AB79">
        <v>0</v>
      </c>
      <c r="AC79">
        <v>0</v>
      </c>
      <c r="AD79">
        <v>1</v>
      </c>
      <c r="AE79">
        <v>2</v>
      </c>
      <c r="AF79" t="s">
        <v>179</v>
      </c>
      <c r="AG79">
        <v>0.184</v>
      </c>
      <c r="AH79">
        <v>2</v>
      </c>
      <c r="AI79">
        <v>224527921</v>
      </c>
      <c r="AJ79">
        <v>65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 x14ac:dyDescent="0.2">
      <c r="A80">
        <f>ROW(Source!A82)</f>
        <v>82</v>
      </c>
      <c r="B80">
        <v>224527922</v>
      </c>
      <c r="C80">
        <v>224527870</v>
      </c>
      <c r="D80">
        <v>223058015</v>
      </c>
      <c r="E80">
        <v>1</v>
      </c>
      <c r="F80">
        <v>1</v>
      </c>
      <c r="G80">
        <v>1</v>
      </c>
      <c r="H80">
        <v>2</v>
      </c>
      <c r="I80" t="s">
        <v>613</v>
      </c>
      <c r="J80" t="s">
        <v>614</v>
      </c>
      <c r="K80" t="s">
        <v>615</v>
      </c>
      <c r="L80">
        <v>1367</v>
      </c>
      <c r="N80">
        <v>1011</v>
      </c>
      <c r="O80" t="s">
        <v>612</v>
      </c>
      <c r="P80" t="s">
        <v>612</v>
      </c>
      <c r="Q80">
        <v>1</v>
      </c>
      <c r="X80">
        <v>0.1</v>
      </c>
      <c r="Y80">
        <v>0</v>
      </c>
      <c r="Z80">
        <v>31.26</v>
      </c>
      <c r="AA80">
        <v>13.5</v>
      </c>
      <c r="AB80">
        <v>0</v>
      </c>
      <c r="AC80">
        <v>0</v>
      </c>
      <c r="AD80">
        <v>1</v>
      </c>
      <c r="AE80">
        <v>0</v>
      </c>
      <c r="AF80" t="s">
        <v>179</v>
      </c>
      <c r="AG80">
        <v>0.11499999999999999</v>
      </c>
      <c r="AH80">
        <v>2</v>
      </c>
      <c r="AI80">
        <v>224527922</v>
      </c>
      <c r="AJ80">
        <v>66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 x14ac:dyDescent="0.2">
      <c r="A81">
        <f>ROW(Source!A82)</f>
        <v>82</v>
      </c>
      <c r="B81">
        <v>224527923</v>
      </c>
      <c r="C81">
        <v>224527870</v>
      </c>
      <c r="D81">
        <v>223058751</v>
      </c>
      <c r="E81">
        <v>1</v>
      </c>
      <c r="F81">
        <v>1</v>
      </c>
      <c r="G81">
        <v>1</v>
      </c>
      <c r="H81">
        <v>2</v>
      </c>
      <c r="I81" t="s">
        <v>624</v>
      </c>
      <c r="J81" t="s">
        <v>625</v>
      </c>
      <c r="K81" t="s">
        <v>626</v>
      </c>
      <c r="L81">
        <v>1367</v>
      </c>
      <c r="N81">
        <v>1011</v>
      </c>
      <c r="O81" t="s">
        <v>612</v>
      </c>
      <c r="P81" t="s">
        <v>612</v>
      </c>
      <c r="Q81">
        <v>1</v>
      </c>
      <c r="X81">
        <v>0.06</v>
      </c>
      <c r="Y81">
        <v>0</v>
      </c>
      <c r="Z81">
        <v>65.709999999999994</v>
      </c>
      <c r="AA81">
        <v>11.6</v>
      </c>
      <c r="AB81">
        <v>0</v>
      </c>
      <c r="AC81">
        <v>0</v>
      </c>
      <c r="AD81">
        <v>1</v>
      </c>
      <c r="AE81">
        <v>0</v>
      </c>
      <c r="AF81" t="s">
        <v>179</v>
      </c>
      <c r="AG81">
        <v>6.8999999999999992E-2</v>
      </c>
      <c r="AH81">
        <v>2</v>
      </c>
      <c r="AI81">
        <v>224527923</v>
      </c>
      <c r="AJ81">
        <v>67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 x14ac:dyDescent="0.2">
      <c r="A82">
        <f>ROW(Source!A82)</f>
        <v>82</v>
      </c>
      <c r="B82">
        <v>224527924</v>
      </c>
      <c r="C82">
        <v>224527870</v>
      </c>
      <c r="D82">
        <v>222908451</v>
      </c>
      <c r="E82">
        <v>1</v>
      </c>
      <c r="F82">
        <v>1</v>
      </c>
      <c r="G82">
        <v>1</v>
      </c>
      <c r="H82">
        <v>3</v>
      </c>
      <c r="I82" t="s">
        <v>619</v>
      </c>
      <c r="J82" t="s">
        <v>620</v>
      </c>
      <c r="K82" t="s">
        <v>621</v>
      </c>
      <c r="L82">
        <v>1339</v>
      </c>
      <c r="N82">
        <v>1007</v>
      </c>
      <c r="O82" t="s">
        <v>215</v>
      </c>
      <c r="P82" t="s">
        <v>215</v>
      </c>
      <c r="Q82">
        <v>1</v>
      </c>
      <c r="X82">
        <v>0.24</v>
      </c>
      <c r="Y82">
        <v>2.44</v>
      </c>
      <c r="Z82">
        <v>0</v>
      </c>
      <c r="AA82">
        <v>0</v>
      </c>
      <c r="AB82">
        <v>0</v>
      </c>
      <c r="AC82">
        <v>0</v>
      </c>
      <c r="AD82">
        <v>1</v>
      </c>
      <c r="AE82">
        <v>0</v>
      </c>
      <c r="AF82" t="s">
        <v>2</v>
      </c>
      <c r="AG82">
        <v>0.24</v>
      </c>
      <c r="AH82">
        <v>2</v>
      </c>
      <c r="AI82">
        <v>224527924</v>
      </c>
      <c r="AJ82">
        <v>68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 x14ac:dyDescent="0.2">
      <c r="A83">
        <f>ROW(Source!A82)</f>
        <v>82</v>
      </c>
      <c r="B83">
        <v>224527925</v>
      </c>
      <c r="C83">
        <v>224527870</v>
      </c>
      <c r="D83">
        <v>222908906</v>
      </c>
      <c r="E83">
        <v>1</v>
      </c>
      <c r="F83">
        <v>1</v>
      </c>
      <c r="G83">
        <v>1</v>
      </c>
      <c r="H83">
        <v>3</v>
      </c>
      <c r="I83" t="s">
        <v>685</v>
      </c>
      <c r="J83" t="s">
        <v>686</v>
      </c>
      <c r="K83" t="s">
        <v>687</v>
      </c>
      <c r="L83">
        <v>1371</v>
      </c>
      <c r="N83">
        <v>74472246</v>
      </c>
      <c r="O83" t="s">
        <v>200</v>
      </c>
      <c r="P83" t="s">
        <v>200</v>
      </c>
      <c r="Q83">
        <v>1</v>
      </c>
      <c r="X83">
        <v>3.2</v>
      </c>
      <c r="Y83">
        <v>4.5</v>
      </c>
      <c r="Z83">
        <v>0</v>
      </c>
      <c r="AA83">
        <v>0</v>
      </c>
      <c r="AB83">
        <v>0</v>
      </c>
      <c r="AC83">
        <v>0</v>
      </c>
      <c r="AD83">
        <v>1</v>
      </c>
      <c r="AE83">
        <v>0</v>
      </c>
      <c r="AF83" t="s">
        <v>2</v>
      </c>
      <c r="AG83">
        <v>3.2</v>
      </c>
      <c r="AH83">
        <v>2</v>
      </c>
      <c r="AI83">
        <v>224527925</v>
      </c>
      <c r="AJ83">
        <v>69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 x14ac:dyDescent="0.2">
      <c r="A84">
        <f>ROW(Source!A82)</f>
        <v>82</v>
      </c>
      <c r="B84">
        <v>224527926</v>
      </c>
      <c r="C84">
        <v>224527870</v>
      </c>
      <c r="D84">
        <v>222909152</v>
      </c>
      <c r="E84">
        <v>1</v>
      </c>
      <c r="F84">
        <v>1</v>
      </c>
      <c r="G84">
        <v>1</v>
      </c>
      <c r="H84">
        <v>3</v>
      </c>
      <c r="I84" t="s">
        <v>688</v>
      </c>
      <c r="J84" t="s">
        <v>689</v>
      </c>
      <c r="K84" t="s">
        <v>690</v>
      </c>
      <c r="L84">
        <v>1348</v>
      </c>
      <c r="N84">
        <v>1009</v>
      </c>
      <c r="O84" t="s">
        <v>18</v>
      </c>
      <c r="P84" t="s">
        <v>18</v>
      </c>
      <c r="Q84">
        <v>1000</v>
      </c>
      <c r="X84">
        <v>1.2E-2</v>
      </c>
      <c r="Y84">
        <v>586.47</v>
      </c>
      <c r="Z84">
        <v>0</v>
      </c>
      <c r="AA84">
        <v>0</v>
      </c>
      <c r="AB84">
        <v>0</v>
      </c>
      <c r="AC84">
        <v>0</v>
      </c>
      <c r="AD84">
        <v>1</v>
      </c>
      <c r="AE84">
        <v>0</v>
      </c>
      <c r="AF84" t="s">
        <v>2</v>
      </c>
      <c r="AG84">
        <v>1.2E-2</v>
      </c>
      <c r="AH84">
        <v>2</v>
      </c>
      <c r="AI84">
        <v>224527926</v>
      </c>
      <c r="AJ84">
        <v>70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 x14ac:dyDescent="0.2">
      <c r="A85">
        <f>ROW(Source!A82)</f>
        <v>82</v>
      </c>
      <c r="B85">
        <v>224527927</v>
      </c>
      <c r="C85">
        <v>224527870</v>
      </c>
      <c r="D85">
        <v>222911579</v>
      </c>
      <c r="E85">
        <v>1</v>
      </c>
      <c r="F85">
        <v>1</v>
      </c>
      <c r="G85">
        <v>1</v>
      </c>
      <c r="H85">
        <v>3</v>
      </c>
      <c r="I85" t="s">
        <v>627</v>
      </c>
      <c r="J85" t="s">
        <v>628</v>
      </c>
      <c r="K85" t="s">
        <v>629</v>
      </c>
      <c r="L85">
        <v>1327</v>
      </c>
      <c r="N85">
        <v>1005</v>
      </c>
      <c r="O85" t="s">
        <v>73</v>
      </c>
      <c r="P85" t="s">
        <v>73</v>
      </c>
      <c r="Q85">
        <v>1</v>
      </c>
      <c r="X85">
        <v>1.6</v>
      </c>
      <c r="Y85">
        <v>72.319999999999993</v>
      </c>
      <c r="Z85">
        <v>0</v>
      </c>
      <c r="AA85">
        <v>0</v>
      </c>
      <c r="AB85">
        <v>0</v>
      </c>
      <c r="AC85">
        <v>0</v>
      </c>
      <c r="AD85">
        <v>1</v>
      </c>
      <c r="AE85">
        <v>0</v>
      </c>
      <c r="AF85" t="s">
        <v>2</v>
      </c>
      <c r="AG85">
        <v>1.6</v>
      </c>
      <c r="AH85">
        <v>2</v>
      </c>
      <c r="AI85">
        <v>224527927</v>
      </c>
      <c r="AJ85">
        <v>71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 x14ac:dyDescent="0.2">
      <c r="A86">
        <f>ROW(Source!A82)</f>
        <v>82</v>
      </c>
      <c r="B86">
        <v>224527928</v>
      </c>
      <c r="C86">
        <v>224527870</v>
      </c>
      <c r="D86">
        <v>222938653</v>
      </c>
      <c r="E86">
        <v>1</v>
      </c>
      <c r="F86">
        <v>1</v>
      </c>
      <c r="G86">
        <v>1</v>
      </c>
      <c r="H86">
        <v>3</v>
      </c>
      <c r="I86" t="s">
        <v>691</v>
      </c>
      <c r="J86" t="s">
        <v>692</v>
      </c>
      <c r="K86" t="s">
        <v>693</v>
      </c>
      <c r="L86">
        <v>1346</v>
      </c>
      <c r="N86">
        <v>1009</v>
      </c>
      <c r="O86" t="s">
        <v>33</v>
      </c>
      <c r="P86" t="s">
        <v>33</v>
      </c>
      <c r="Q86">
        <v>1</v>
      </c>
      <c r="X86">
        <v>2.4300000000000002</v>
      </c>
      <c r="Y86">
        <v>8.09</v>
      </c>
      <c r="Z86">
        <v>0</v>
      </c>
      <c r="AA86">
        <v>0</v>
      </c>
      <c r="AB86">
        <v>0</v>
      </c>
      <c r="AC86">
        <v>0</v>
      </c>
      <c r="AD86">
        <v>1</v>
      </c>
      <c r="AE86">
        <v>0</v>
      </c>
      <c r="AF86" t="s">
        <v>2</v>
      </c>
      <c r="AG86">
        <v>2.4300000000000002</v>
      </c>
      <c r="AH86">
        <v>2</v>
      </c>
      <c r="AI86">
        <v>224527928</v>
      </c>
      <c r="AJ86">
        <v>72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 x14ac:dyDescent="0.2">
      <c r="A87">
        <f>ROW(Source!A82)</f>
        <v>82</v>
      </c>
      <c r="B87">
        <v>224527929</v>
      </c>
      <c r="C87">
        <v>224527870</v>
      </c>
      <c r="D87">
        <v>222899151</v>
      </c>
      <c r="E87">
        <v>70</v>
      </c>
      <c r="F87">
        <v>1</v>
      </c>
      <c r="G87">
        <v>1</v>
      </c>
      <c r="H87">
        <v>3</v>
      </c>
      <c r="I87" t="s">
        <v>768</v>
      </c>
      <c r="J87" t="s">
        <v>2</v>
      </c>
      <c r="K87" t="s">
        <v>769</v>
      </c>
      <c r="L87">
        <v>1348</v>
      </c>
      <c r="N87">
        <v>1009</v>
      </c>
      <c r="O87" t="s">
        <v>18</v>
      </c>
      <c r="P87" t="s">
        <v>18</v>
      </c>
      <c r="Q87">
        <v>1000</v>
      </c>
      <c r="X87">
        <v>6.7000000000000004E-2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 t="s">
        <v>2</v>
      </c>
      <c r="AG87">
        <v>6.7000000000000004E-2</v>
      </c>
      <c r="AH87">
        <v>3</v>
      </c>
      <c r="AI87">
        <v>-1</v>
      </c>
      <c r="AJ87" t="s">
        <v>2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 x14ac:dyDescent="0.2">
      <c r="A88">
        <f>ROW(Source!A82)</f>
        <v>82</v>
      </c>
      <c r="B88">
        <v>224527930</v>
      </c>
      <c r="C88">
        <v>224527870</v>
      </c>
      <c r="D88">
        <v>222940670</v>
      </c>
      <c r="E88">
        <v>1</v>
      </c>
      <c r="F88">
        <v>1</v>
      </c>
      <c r="G88">
        <v>1</v>
      </c>
      <c r="H88">
        <v>3</v>
      </c>
      <c r="I88" t="s">
        <v>633</v>
      </c>
      <c r="J88" t="s">
        <v>634</v>
      </c>
      <c r="K88" t="s">
        <v>635</v>
      </c>
      <c r="L88">
        <v>1348</v>
      </c>
      <c r="N88">
        <v>1009</v>
      </c>
      <c r="O88" t="s">
        <v>18</v>
      </c>
      <c r="P88" t="s">
        <v>18</v>
      </c>
      <c r="Q88">
        <v>1000</v>
      </c>
      <c r="X88">
        <v>6.7999999999999996E-3</v>
      </c>
      <c r="Y88">
        <v>4294</v>
      </c>
      <c r="Z88">
        <v>0</v>
      </c>
      <c r="AA88">
        <v>0</v>
      </c>
      <c r="AB88">
        <v>0</v>
      </c>
      <c r="AC88">
        <v>0</v>
      </c>
      <c r="AD88">
        <v>1</v>
      </c>
      <c r="AE88">
        <v>0</v>
      </c>
      <c r="AF88" t="s">
        <v>2</v>
      </c>
      <c r="AG88">
        <v>6.7999999999999996E-3</v>
      </c>
      <c r="AH88">
        <v>2</v>
      </c>
      <c r="AI88">
        <v>224527930</v>
      </c>
      <c r="AJ88">
        <v>73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 x14ac:dyDescent="0.2">
      <c r="A89">
        <f>ROW(Source!A84)</f>
        <v>84</v>
      </c>
      <c r="B89">
        <v>224527964</v>
      </c>
      <c r="C89">
        <v>224527932</v>
      </c>
      <c r="D89">
        <v>222896005</v>
      </c>
      <c r="E89">
        <v>70</v>
      </c>
      <c r="F89">
        <v>1</v>
      </c>
      <c r="G89">
        <v>1</v>
      </c>
      <c r="H89">
        <v>1</v>
      </c>
      <c r="I89" t="s">
        <v>694</v>
      </c>
      <c r="J89" t="s">
        <v>2</v>
      </c>
      <c r="K89" t="s">
        <v>695</v>
      </c>
      <c r="L89">
        <v>1191</v>
      </c>
      <c r="N89">
        <v>74472246</v>
      </c>
      <c r="O89" t="s">
        <v>600</v>
      </c>
      <c r="P89" t="s">
        <v>600</v>
      </c>
      <c r="Q89">
        <v>1</v>
      </c>
      <c r="X89">
        <v>77.8</v>
      </c>
      <c r="Y89">
        <v>0</v>
      </c>
      <c r="Z89">
        <v>0</v>
      </c>
      <c r="AA89">
        <v>0</v>
      </c>
      <c r="AB89">
        <v>9.6199999999999992</v>
      </c>
      <c r="AC89">
        <v>0</v>
      </c>
      <c r="AD89">
        <v>1</v>
      </c>
      <c r="AE89">
        <v>1</v>
      </c>
      <c r="AF89" t="s">
        <v>189</v>
      </c>
      <c r="AG89">
        <v>98.416999999999987</v>
      </c>
      <c r="AH89">
        <v>2</v>
      </c>
      <c r="AI89">
        <v>224527964</v>
      </c>
      <c r="AJ89">
        <v>74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 x14ac:dyDescent="0.2">
      <c r="A90">
        <f>ROW(Source!A84)</f>
        <v>84</v>
      </c>
      <c r="B90">
        <v>224527965</v>
      </c>
      <c r="C90">
        <v>224527932</v>
      </c>
      <c r="D90">
        <v>222896153</v>
      </c>
      <c r="E90">
        <v>70</v>
      </c>
      <c r="F90">
        <v>1</v>
      </c>
      <c r="G90">
        <v>1</v>
      </c>
      <c r="H90">
        <v>1</v>
      </c>
      <c r="I90" t="s">
        <v>607</v>
      </c>
      <c r="J90" t="s">
        <v>2</v>
      </c>
      <c r="K90" t="s">
        <v>608</v>
      </c>
      <c r="L90">
        <v>1191</v>
      </c>
      <c r="N90">
        <v>74472246</v>
      </c>
      <c r="O90" t="s">
        <v>600</v>
      </c>
      <c r="P90" t="s">
        <v>600</v>
      </c>
      <c r="Q90">
        <v>1</v>
      </c>
      <c r="X90">
        <v>0.42</v>
      </c>
      <c r="Y90">
        <v>0</v>
      </c>
      <c r="Z90">
        <v>0</v>
      </c>
      <c r="AA90">
        <v>0</v>
      </c>
      <c r="AB90">
        <v>0</v>
      </c>
      <c r="AC90">
        <v>0</v>
      </c>
      <c r="AD90">
        <v>1</v>
      </c>
      <c r="AE90">
        <v>2</v>
      </c>
      <c r="AF90" t="s">
        <v>179</v>
      </c>
      <c r="AG90">
        <v>0.48299999999999993</v>
      </c>
      <c r="AH90">
        <v>2</v>
      </c>
      <c r="AI90">
        <v>224527965</v>
      </c>
      <c r="AJ90">
        <v>75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 x14ac:dyDescent="0.2">
      <c r="A91">
        <f>ROW(Source!A84)</f>
        <v>84</v>
      </c>
      <c r="B91">
        <v>224527966</v>
      </c>
      <c r="C91">
        <v>224527932</v>
      </c>
      <c r="D91">
        <v>223058015</v>
      </c>
      <c r="E91">
        <v>1</v>
      </c>
      <c r="F91">
        <v>1</v>
      </c>
      <c r="G91">
        <v>1</v>
      </c>
      <c r="H91">
        <v>2</v>
      </c>
      <c r="I91" t="s">
        <v>613</v>
      </c>
      <c r="J91" t="s">
        <v>614</v>
      </c>
      <c r="K91" t="s">
        <v>615</v>
      </c>
      <c r="L91">
        <v>1367</v>
      </c>
      <c r="N91">
        <v>1011</v>
      </c>
      <c r="O91" t="s">
        <v>612</v>
      </c>
      <c r="P91" t="s">
        <v>612</v>
      </c>
      <c r="Q91">
        <v>1</v>
      </c>
      <c r="X91">
        <v>0.21</v>
      </c>
      <c r="Y91">
        <v>0</v>
      </c>
      <c r="Z91">
        <v>31.26</v>
      </c>
      <c r="AA91">
        <v>13.5</v>
      </c>
      <c r="AB91">
        <v>0</v>
      </c>
      <c r="AC91">
        <v>0</v>
      </c>
      <c r="AD91">
        <v>1</v>
      </c>
      <c r="AE91">
        <v>0</v>
      </c>
      <c r="AF91" t="s">
        <v>179</v>
      </c>
      <c r="AG91">
        <v>0.24149999999999996</v>
      </c>
      <c r="AH91">
        <v>2</v>
      </c>
      <c r="AI91">
        <v>224527966</v>
      </c>
      <c r="AJ91">
        <v>76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 x14ac:dyDescent="0.2">
      <c r="A92">
        <f>ROW(Source!A84)</f>
        <v>84</v>
      </c>
      <c r="B92">
        <v>224527967</v>
      </c>
      <c r="C92">
        <v>224527932</v>
      </c>
      <c r="D92">
        <v>223058751</v>
      </c>
      <c r="E92">
        <v>1</v>
      </c>
      <c r="F92">
        <v>1</v>
      </c>
      <c r="G92">
        <v>1</v>
      </c>
      <c r="H92">
        <v>2</v>
      </c>
      <c r="I92" t="s">
        <v>624</v>
      </c>
      <c r="J92" t="s">
        <v>625</v>
      </c>
      <c r="K92" t="s">
        <v>626</v>
      </c>
      <c r="L92">
        <v>1367</v>
      </c>
      <c r="N92">
        <v>1011</v>
      </c>
      <c r="O92" t="s">
        <v>612</v>
      </c>
      <c r="P92" t="s">
        <v>612</v>
      </c>
      <c r="Q92">
        <v>1</v>
      </c>
      <c r="X92">
        <v>0.21</v>
      </c>
      <c r="Y92">
        <v>0</v>
      </c>
      <c r="Z92">
        <v>65.709999999999994</v>
      </c>
      <c r="AA92">
        <v>11.6</v>
      </c>
      <c r="AB92">
        <v>0</v>
      </c>
      <c r="AC92">
        <v>0</v>
      </c>
      <c r="AD92">
        <v>1</v>
      </c>
      <c r="AE92">
        <v>0</v>
      </c>
      <c r="AF92" t="s">
        <v>179</v>
      </c>
      <c r="AG92">
        <v>0.24149999999999996</v>
      </c>
      <c r="AH92">
        <v>2</v>
      </c>
      <c r="AI92">
        <v>224527967</v>
      </c>
      <c r="AJ92">
        <v>77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 spans="1:44" x14ac:dyDescent="0.2">
      <c r="A93">
        <f>ROW(Source!A84)</f>
        <v>84</v>
      </c>
      <c r="B93">
        <v>224527968</v>
      </c>
      <c r="C93">
        <v>224527932</v>
      </c>
      <c r="D93">
        <v>223058906</v>
      </c>
      <c r="E93">
        <v>1</v>
      </c>
      <c r="F93">
        <v>1</v>
      </c>
      <c r="G93">
        <v>1</v>
      </c>
      <c r="H93">
        <v>2</v>
      </c>
      <c r="I93" t="s">
        <v>696</v>
      </c>
      <c r="J93" t="s">
        <v>697</v>
      </c>
      <c r="K93" t="s">
        <v>698</v>
      </c>
      <c r="L93">
        <v>1367</v>
      </c>
      <c r="N93">
        <v>1011</v>
      </c>
      <c r="O93" t="s">
        <v>612</v>
      </c>
      <c r="P93" t="s">
        <v>612</v>
      </c>
      <c r="Q93">
        <v>1</v>
      </c>
      <c r="X93">
        <v>3.07</v>
      </c>
      <c r="Y93">
        <v>0</v>
      </c>
      <c r="Z93">
        <v>1.2</v>
      </c>
      <c r="AA93">
        <v>0</v>
      </c>
      <c r="AB93">
        <v>0</v>
      </c>
      <c r="AC93">
        <v>0</v>
      </c>
      <c r="AD93">
        <v>1</v>
      </c>
      <c r="AE93">
        <v>0</v>
      </c>
      <c r="AF93" t="s">
        <v>179</v>
      </c>
      <c r="AG93">
        <v>3.5304999999999995</v>
      </c>
      <c r="AH93">
        <v>2</v>
      </c>
      <c r="AI93">
        <v>224527968</v>
      </c>
      <c r="AJ93">
        <v>78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 x14ac:dyDescent="0.2">
      <c r="A94">
        <f>ROW(Source!A84)</f>
        <v>84</v>
      </c>
      <c r="B94">
        <v>224527969</v>
      </c>
      <c r="C94">
        <v>224527932</v>
      </c>
      <c r="D94">
        <v>223058963</v>
      </c>
      <c r="E94">
        <v>1</v>
      </c>
      <c r="F94">
        <v>1</v>
      </c>
      <c r="G94">
        <v>1</v>
      </c>
      <c r="H94">
        <v>2</v>
      </c>
      <c r="I94" t="s">
        <v>665</v>
      </c>
      <c r="J94" t="s">
        <v>699</v>
      </c>
      <c r="K94" t="s">
        <v>667</v>
      </c>
      <c r="L94">
        <v>1367</v>
      </c>
      <c r="N94">
        <v>1011</v>
      </c>
      <c r="O94" t="s">
        <v>612</v>
      </c>
      <c r="P94" t="s">
        <v>612</v>
      </c>
      <c r="Q94">
        <v>1</v>
      </c>
      <c r="X94">
        <v>4.58</v>
      </c>
      <c r="Y94">
        <v>0</v>
      </c>
      <c r="Z94">
        <v>8.1</v>
      </c>
      <c r="AA94">
        <v>0</v>
      </c>
      <c r="AB94">
        <v>0</v>
      </c>
      <c r="AC94">
        <v>0</v>
      </c>
      <c r="AD94">
        <v>1</v>
      </c>
      <c r="AE94">
        <v>0</v>
      </c>
      <c r="AF94" t="s">
        <v>179</v>
      </c>
      <c r="AG94">
        <v>5.2669999999999995</v>
      </c>
      <c r="AH94">
        <v>2</v>
      </c>
      <c r="AI94">
        <v>224527969</v>
      </c>
      <c r="AJ94">
        <v>79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 x14ac:dyDescent="0.2">
      <c r="A95">
        <f>ROW(Source!A84)</f>
        <v>84</v>
      </c>
      <c r="B95">
        <v>224527970</v>
      </c>
      <c r="C95">
        <v>224527932</v>
      </c>
      <c r="D95">
        <v>222906832</v>
      </c>
      <c r="E95">
        <v>1</v>
      </c>
      <c r="F95">
        <v>1</v>
      </c>
      <c r="G95">
        <v>1</v>
      </c>
      <c r="H95">
        <v>3</v>
      </c>
      <c r="I95" t="s">
        <v>700</v>
      </c>
      <c r="J95" t="s">
        <v>701</v>
      </c>
      <c r="K95" t="s">
        <v>702</v>
      </c>
      <c r="L95">
        <v>1339</v>
      </c>
      <c r="N95">
        <v>1007</v>
      </c>
      <c r="O95" t="s">
        <v>215</v>
      </c>
      <c r="P95" t="s">
        <v>215</v>
      </c>
      <c r="Q95">
        <v>1</v>
      </c>
      <c r="X95">
        <v>0.23</v>
      </c>
      <c r="Y95">
        <v>38.51</v>
      </c>
      <c r="Z95">
        <v>0</v>
      </c>
      <c r="AA95">
        <v>0</v>
      </c>
      <c r="AB95">
        <v>0</v>
      </c>
      <c r="AC95">
        <v>0</v>
      </c>
      <c r="AD95">
        <v>1</v>
      </c>
      <c r="AE95">
        <v>0</v>
      </c>
      <c r="AF95" t="s">
        <v>2</v>
      </c>
      <c r="AG95">
        <v>0.23</v>
      </c>
      <c r="AH95">
        <v>2</v>
      </c>
      <c r="AI95">
        <v>224527970</v>
      </c>
      <c r="AJ95">
        <v>80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 x14ac:dyDescent="0.2">
      <c r="A96">
        <f>ROW(Source!A84)</f>
        <v>84</v>
      </c>
      <c r="B96">
        <v>224527971</v>
      </c>
      <c r="C96">
        <v>224527932</v>
      </c>
      <c r="D96">
        <v>222906850</v>
      </c>
      <c r="E96">
        <v>1</v>
      </c>
      <c r="F96">
        <v>1</v>
      </c>
      <c r="G96">
        <v>1</v>
      </c>
      <c r="H96">
        <v>3</v>
      </c>
      <c r="I96" t="s">
        <v>703</v>
      </c>
      <c r="J96" t="s">
        <v>704</v>
      </c>
      <c r="K96" t="s">
        <v>705</v>
      </c>
      <c r="L96">
        <v>1339</v>
      </c>
      <c r="N96">
        <v>1007</v>
      </c>
      <c r="O96" t="s">
        <v>215</v>
      </c>
      <c r="P96" t="s">
        <v>215</v>
      </c>
      <c r="Q96">
        <v>1</v>
      </c>
      <c r="X96">
        <v>0.51</v>
      </c>
      <c r="Y96">
        <v>6.22</v>
      </c>
      <c r="Z96">
        <v>0</v>
      </c>
      <c r="AA96">
        <v>0</v>
      </c>
      <c r="AB96">
        <v>0</v>
      </c>
      <c r="AC96">
        <v>0</v>
      </c>
      <c r="AD96">
        <v>1</v>
      </c>
      <c r="AE96">
        <v>0</v>
      </c>
      <c r="AF96" t="s">
        <v>2</v>
      </c>
      <c r="AG96">
        <v>0.51</v>
      </c>
      <c r="AH96">
        <v>2</v>
      </c>
      <c r="AI96">
        <v>224527971</v>
      </c>
      <c r="AJ96">
        <v>81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 x14ac:dyDescent="0.2">
      <c r="A97">
        <f>ROW(Source!A84)</f>
        <v>84</v>
      </c>
      <c r="B97">
        <v>224527972</v>
      </c>
      <c r="C97">
        <v>224527932</v>
      </c>
      <c r="D97">
        <v>222909099</v>
      </c>
      <c r="E97">
        <v>1</v>
      </c>
      <c r="F97">
        <v>1</v>
      </c>
      <c r="G97">
        <v>1</v>
      </c>
      <c r="H97">
        <v>3</v>
      </c>
      <c r="I97" t="s">
        <v>706</v>
      </c>
      <c r="J97" t="s">
        <v>707</v>
      </c>
      <c r="K97" t="s">
        <v>708</v>
      </c>
      <c r="L97">
        <v>1346</v>
      </c>
      <c r="N97">
        <v>1009</v>
      </c>
      <c r="O97" t="s">
        <v>33</v>
      </c>
      <c r="P97" t="s">
        <v>33</v>
      </c>
      <c r="Q97">
        <v>1</v>
      </c>
      <c r="X97">
        <v>0.05</v>
      </c>
      <c r="Y97">
        <v>37.29</v>
      </c>
      <c r="Z97">
        <v>0</v>
      </c>
      <c r="AA97">
        <v>0</v>
      </c>
      <c r="AB97">
        <v>0</v>
      </c>
      <c r="AC97">
        <v>0</v>
      </c>
      <c r="AD97">
        <v>1</v>
      </c>
      <c r="AE97">
        <v>0</v>
      </c>
      <c r="AF97" t="s">
        <v>2</v>
      </c>
      <c r="AG97">
        <v>0.05</v>
      </c>
      <c r="AH97">
        <v>2</v>
      </c>
      <c r="AI97">
        <v>224527972</v>
      </c>
      <c r="AJ97">
        <v>82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 x14ac:dyDescent="0.2">
      <c r="A98">
        <f>ROW(Source!A84)</f>
        <v>84</v>
      </c>
      <c r="B98">
        <v>224527973</v>
      </c>
      <c r="C98">
        <v>224527932</v>
      </c>
      <c r="D98">
        <v>222909480</v>
      </c>
      <c r="E98">
        <v>1</v>
      </c>
      <c r="F98">
        <v>1</v>
      </c>
      <c r="G98">
        <v>1</v>
      </c>
      <c r="H98">
        <v>3</v>
      </c>
      <c r="I98" t="s">
        <v>709</v>
      </c>
      <c r="J98" t="s">
        <v>710</v>
      </c>
      <c r="K98" t="s">
        <v>711</v>
      </c>
      <c r="L98">
        <v>1348</v>
      </c>
      <c r="N98">
        <v>1009</v>
      </c>
      <c r="O98" t="s">
        <v>18</v>
      </c>
      <c r="P98" t="s">
        <v>18</v>
      </c>
      <c r="Q98">
        <v>1000</v>
      </c>
      <c r="X98">
        <v>4.0000000000000002E-4</v>
      </c>
      <c r="Y98">
        <v>13560</v>
      </c>
      <c r="Z98">
        <v>0</v>
      </c>
      <c r="AA98">
        <v>0</v>
      </c>
      <c r="AB98">
        <v>0</v>
      </c>
      <c r="AC98">
        <v>0</v>
      </c>
      <c r="AD98">
        <v>1</v>
      </c>
      <c r="AE98">
        <v>0</v>
      </c>
      <c r="AF98" t="s">
        <v>2</v>
      </c>
      <c r="AG98">
        <v>4.0000000000000002E-4</v>
      </c>
      <c r="AH98">
        <v>2</v>
      </c>
      <c r="AI98">
        <v>224527973</v>
      </c>
      <c r="AJ98">
        <v>83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 x14ac:dyDescent="0.2">
      <c r="A99">
        <f>ROW(Source!A84)</f>
        <v>84</v>
      </c>
      <c r="B99">
        <v>224527974</v>
      </c>
      <c r="C99">
        <v>224527932</v>
      </c>
      <c r="D99">
        <v>222909549</v>
      </c>
      <c r="E99">
        <v>1</v>
      </c>
      <c r="F99">
        <v>1</v>
      </c>
      <c r="G99">
        <v>1</v>
      </c>
      <c r="H99">
        <v>3</v>
      </c>
      <c r="I99" t="s">
        <v>671</v>
      </c>
      <c r="J99" t="s">
        <v>712</v>
      </c>
      <c r="K99" t="s">
        <v>713</v>
      </c>
      <c r="L99">
        <v>1348</v>
      </c>
      <c r="N99">
        <v>1009</v>
      </c>
      <c r="O99" t="s">
        <v>18</v>
      </c>
      <c r="P99" t="s">
        <v>18</v>
      </c>
      <c r="Q99">
        <v>1000</v>
      </c>
      <c r="X99">
        <v>1.9E-3</v>
      </c>
      <c r="Y99">
        <v>10362</v>
      </c>
      <c r="Z99">
        <v>0</v>
      </c>
      <c r="AA99">
        <v>0</v>
      </c>
      <c r="AB99">
        <v>0</v>
      </c>
      <c r="AC99">
        <v>0</v>
      </c>
      <c r="AD99">
        <v>1</v>
      </c>
      <c r="AE99">
        <v>0</v>
      </c>
      <c r="AF99" t="s">
        <v>2</v>
      </c>
      <c r="AG99">
        <v>1.9E-3</v>
      </c>
      <c r="AH99">
        <v>2</v>
      </c>
      <c r="AI99">
        <v>224527974</v>
      </c>
      <c r="AJ99">
        <v>84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 x14ac:dyDescent="0.2">
      <c r="A100">
        <f>ROW(Source!A84)</f>
        <v>84</v>
      </c>
      <c r="B100">
        <v>224527975</v>
      </c>
      <c r="C100">
        <v>224527932</v>
      </c>
      <c r="D100">
        <v>222939748</v>
      </c>
      <c r="E100">
        <v>1</v>
      </c>
      <c r="F100">
        <v>1</v>
      </c>
      <c r="G100">
        <v>1</v>
      </c>
      <c r="H100">
        <v>3</v>
      </c>
      <c r="I100" t="s">
        <v>714</v>
      </c>
      <c r="J100" t="s">
        <v>715</v>
      </c>
      <c r="K100" t="s">
        <v>716</v>
      </c>
      <c r="L100">
        <v>1346</v>
      </c>
      <c r="N100">
        <v>1009</v>
      </c>
      <c r="O100" t="s">
        <v>33</v>
      </c>
      <c r="P100" t="s">
        <v>33</v>
      </c>
      <c r="Q100">
        <v>1</v>
      </c>
      <c r="X100">
        <v>0.11</v>
      </c>
      <c r="Y100">
        <v>15.12</v>
      </c>
      <c r="Z100">
        <v>0</v>
      </c>
      <c r="AA100">
        <v>0</v>
      </c>
      <c r="AB100">
        <v>0</v>
      </c>
      <c r="AC100">
        <v>0</v>
      </c>
      <c r="AD100">
        <v>1</v>
      </c>
      <c r="AE100">
        <v>0</v>
      </c>
      <c r="AF100" t="s">
        <v>2</v>
      </c>
      <c r="AG100">
        <v>0.11</v>
      </c>
      <c r="AH100">
        <v>2</v>
      </c>
      <c r="AI100">
        <v>224527975</v>
      </c>
      <c r="AJ100">
        <v>85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 x14ac:dyDescent="0.2">
      <c r="A101">
        <f>ROW(Source!A84)</f>
        <v>84</v>
      </c>
      <c r="B101">
        <v>224527976</v>
      </c>
      <c r="C101">
        <v>224527932</v>
      </c>
      <c r="D101">
        <v>222940436</v>
      </c>
      <c r="E101">
        <v>1</v>
      </c>
      <c r="F101">
        <v>1</v>
      </c>
      <c r="G101">
        <v>1</v>
      </c>
      <c r="H101">
        <v>3</v>
      </c>
      <c r="I101" t="s">
        <v>717</v>
      </c>
      <c r="J101" t="s">
        <v>718</v>
      </c>
      <c r="K101" t="s">
        <v>719</v>
      </c>
      <c r="L101">
        <v>1348</v>
      </c>
      <c r="N101">
        <v>1009</v>
      </c>
      <c r="O101" t="s">
        <v>18</v>
      </c>
      <c r="P101" t="s">
        <v>18</v>
      </c>
      <c r="Q101">
        <v>1000</v>
      </c>
      <c r="X101">
        <v>5.0000000000000002E-5</v>
      </c>
      <c r="Y101">
        <v>16950</v>
      </c>
      <c r="Z101">
        <v>0</v>
      </c>
      <c r="AA101">
        <v>0</v>
      </c>
      <c r="AB101">
        <v>0</v>
      </c>
      <c r="AC101">
        <v>0</v>
      </c>
      <c r="AD101">
        <v>1</v>
      </c>
      <c r="AE101">
        <v>0</v>
      </c>
      <c r="AF101" t="s">
        <v>2</v>
      </c>
      <c r="AG101">
        <v>5.0000000000000002E-5</v>
      </c>
      <c r="AH101">
        <v>2</v>
      </c>
      <c r="AI101">
        <v>224527976</v>
      </c>
      <c r="AJ101">
        <v>86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4" x14ac:dyDescent="0.2">
      <c r="A102">
        <f>ROW(Source!A84)</f>
        <v>84</v>
      </c>
      <c r="B102">
        <v>224527977</v>
      </c>
      <c r="C102">
        <v>224527932</v>
      </c>
      <c r="D102">
        <v>222899548</v>
      </c>
      <c r="E102">
        <v>70</v>
      </c>
      <c r="F102">
        <v>1</v>
      </c>
      <c r="G102">
        <v>1</v>
      </c>
      <c r="H102">
        <v>3</v>
      </c>
      <c r="I102" t="s">
        <v>787</v>
      </c>
      <c r="J102" t="s">
        <v>2</v>
      </c>
      <c r="K102" t="s">
        <v>788</v>
      </c>
      <c r="L102">
        <v>1371</v>
      </c>
      <c r="N102">
        <v>74472246</v>
      </c>
      <c r="O102" t="s">
        <v>200</v>
      </c>
      <c r="P102" t="s">
        <v>200</v>
      </c>
      <c r="Q102">
        <v>1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1</v>
      </c>
      <c r="AD102">
        <v>0</v>
      </c>
      <c r="AE102">
        <v>0</v>
      </c>
      <c r="AF102" t="s">
        <v>2</v>
      </c>
      <c r="AG102">
        <v>0</v>
      </c>
      <c r="AH102">
        <v>3</v>
      </c>
      <c r="AI102">
        <v>-1</v>
      </c>
      <c r="AJ102" t="s">
        <v>2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 spans="1:44" x14ac:dyDescent="0.2">
      <c r="A103">
        <f>ROW(Source!A84)</f>
        <v>84</v>
      </c>
      <c r="B103">
        <v>224527978</v>
      </c>
      <c r="C103">
        <v>224527932</v>
      </c>
      <c r="D103">
        <v>222899696</v>
      </c>
      <c r="E103">
        <v>70</v>
      </c>
      <c r="F103">
        <v>1</v>
      </c>
      <c r="G103">
        <v>1</v>
      </c>
      <c r="H103">
        <v>3</v>
      </c>
      <c r="I103" t="s">
        <v>789</v>
      </c>
      <c r="J103" t="s">
        <v>2</v>
      </c>
      <c r="K103" t="s">
        <v>790</v>
      </c>
      <c r="L103">
        <v>1301</v>
      </c>
      <c r="N103">
        <v>1003</v>
      </c>
      <c r="O103" t="s">
        <v>195</v>
      </c>
      <c r="P103" t="s">
        <v>195</v>
      </c>
      <c r="Q103">
        <v>1</v>
      </c>
      <c r="X103">
        <v>100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 t="s">
        <v>2</v>
      </c>
      <c r="AG103">
        <v>100</v>
      </c>
      <c r="AH103">
        <v>3</v>
      </c>
      <c r="AI103">
        <v>-1</v>
      </c>
      <c r="AJ103" t="s">
        <v>2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</row>
    <row r="104" spans="1:44" x14ac:dyDescent="0.2">
      <c r="A104">
        <f>ROW(Source!A84)</f>
        <v>84</v>
      </c>
      <c r="B104">
        <v>224527979</v>
      </c>
      <c r="C104">
        <v>224527932</v>
      </c>
      <c r="D104">
        <v>222900238</v>
      </c>
      <c r="E104">
        <v>70</v>
      </c>
      <c r="F104">
        <v>1</v>
      </c>
      <c r="G104">
        <v>1</v>
      </c>
      <c r="H104">
        <v>3</v>
      </c>
      <c r="I104" t="s">
        <v>791</v>
      </c>
      <c r="J104" t="s">
        <v>2</v>
      </c>
      <c r="K104" t="s">
        <v>777</v>
      </c>
      <c r="L104">
        <v>1346</v>
      </c>
      <c r="N104">
        <v>1009</v>
      </c>
      <c r="O104" t="s">
        <v>33</v>
      </c>
      <c r="P104" t="s">
        <v>33</v>
      </c>
      <c r="Q104">
        <v>1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1</v>
      </c>
      <c r="AD104">
        <v>0</v>
      </c>
      <c r="AE104">
        <v>0</v>
      </c>
      <c r="AF104" t="s">
        <v>2</v>
      </c>
      <c r="AG104">
        <v>0</v>
      </c>
      <c r="AH104">
        <v>3</v>
      </c>
      <c r="AI104">
        <v>-1</v>
      </c>
      <c r="AJ104" t="s">
        <v>2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  <row r="105" spans="1:44" x14ac:dyDescent="0.2">
      <c r="A105">
        <f>ROW(Source!A86)</f>
        <v>86</v>
      </c>
      <c r="B105">
        <v>224527987</v>
      </c>
      <c r="C105">
        <v>224527986</v>
      </c>
      <c r="D105">
        <v>222895979</v>
      </c>
      <c r="E105">
        <v>70</v>
      </c>
      <c r="F105">
        <v>1</v>
      </c>
      <c r="G105">
        <v>1</v>
      </c>
      <c r="H105">
        <v>1</v>
      </c>
      <c r="I105" t="s">
        <v>720</v>
      </c>
      <c r="J105" t="s">
        <v>2</v>
      </c>
      <c r="K105" t="s">
        <v>721</v>
      </c>
      <c r="L105">
        <v>1191</v>
      </c>
      <c r="N105">
        <v>74472246</v>
      </c>
      <c r="O105" t="s">
        <v>600</v>
      </c>
      <c r="P105" t="s">
        <v>600</v>
      </c>
      <c r="Q105">
        <v>1</v>
      </c>
      <c r="X105">
        <v>1.47</v>
      </c>
      <c r="Y105">
        <v>0</v>
      </c>
      <c r="Z105">
        <v>0</v>
      </c>
      <c r="AA105">
        <v>0</v>
      </c>
      <c r="AB105">
        <v>9.07</v>
      </c>
      <c r="AC105">
        <v>0</v>
      </c>
      <c r="AD105">
        <v>1</v>
      </c>
      <c r="AE105">
        <v>1</v>
      </c>
      <c r="AF105" t="s">
        <v>203</v>
      </c>
      <c r="AG105">
        <v>2.2821750000000001</v>
      </c>
      <c r="AH105">
        <v>2</v>
      </c>
      <c r="AI105">
        <v>224527987</v>
      </c>
      <c r="AJ105">
        <v>87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</row>
    <row r="106" spans="1:44" x14ac:dyDescent="0.2">
      <c r="A106">
        <f>ROW(Source!A86)</f>
        <v>86</v>
      </c>
      <c r="B106">
        <v>224527988</v>
      </c>
      <c r="C106">
        <v>224527986</v>
      </c>
      <c r="D106">
        <v>222896153</v>
      </c>
      <c r="E106">
        <v>70</v>
      </c>
      <c r="F106">
        <v>1</v>
      </c>
      <c r="G106">
        <v>1</v>
      </c>
      <c r="H106">
        <v>1</v>
      </c>
      <c r="I106" t="s">
        <v>607</v>
      </c>
      <c r="J106" t="s">
        <v>2</v>
      </c>
      <c r="K106" t="s">
        <v>608</v>
      </c>
      <c r="L106">
        <v>1191</v>
      </c>
      <c r="N106">
        <v>74472246</v>
      </c>
      <c r="O106" t="s">
        <v>600</v>
      </c>
      <c r="P106" t="s">
        <v>600</v>
      </c>
      <c r="Q106">
        <v>1</v>
      </c>
      <c r="X106">
        <v>0.01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1</v>
      </c>
      <c r="AE106">
        <v>2</v>
      </c>
      <c r="AF106" t="s">
        <v>202</v>
      </c>
      <c r="AG106">
        <v>1.6875000000000001E-2</v>
      </c>
      <c r="AH106">
        <v>2</v>
      </c>
      <c r="AI106">
        <v>224527988</v>
      </c>
      <c r="AJ106">
        <v>88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</row>
    <row r="107" spans="1:44" x14ac:dyDescent="0.2">
      <c r="A107">
        <f>ROW(Source!A86)</f>
        <v>86</v>
      </c>
      <c r="B107">
        <v>224527989</v>
      </c>
      <c r="C107">
        <v>224527986</v>
      </c>
      <c r="D107">
        <v>223058751</v>
      </c>
      <c r="E107">
        <v>1</v>
      </c>
      <c r="F107">
        <v>1</v>
      </c>
      <c r="G107">
        <v>1</v>
      </c>
      <c r="H107">
        <v>2</v>
      </c>
      <c r="I107" t="s">
        <v>624</v>
      </c>
      <c r="J107" t="s">
        <v>625</v>
      </c>
      <c r="K107" t="s">
        <v>626</v>
      </c>
      <c r="L107">
        <v>1367</v>
      </c>
      <c r="N107">
        <v>1011</v>
      </c>
      <c r="O107" t="s">
        <v>612</v>
      </c>
      <c r="P107" t="s">
        <v>612</v>
      </c>
      <c r="Q107">
        <v>1</v>
      </c>
      <c r="X107">
        <v>0.01</v>
      </c>
      <c r="Y107">
        <v>0</v>
      </c>
      <c r="Z107">
        <v>65.709999999999994</v>
      </c>
      <c r="AA107">
        <v>11.6</v>
      </c>
      <c r="AB107">
        <v>0</v>
      </c>
      <c r="AC107">
        <v>0</v>
      </c>
      <c r="AD107">
        <v>1</v>
      </c>
      <c r="AE107">
        <v>0</v>
      </c>
      <c r="AF107" t="s">
        <v>202</v>
      </c>
      <c r="AG107">
        <v>1.6875000000000001E-2</v>
      </c>
      <c r="AH107">
        <v>2</v>
      </c>
      <c r="AI107">
        <v>224527989</v>
      </c>
      <c r="AJ107">
        <v>89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</row>
    <row r="108" spans="1:44" x14ac:dyDescent="0.2">
      <c r="A108">
        <f>ROW(Source!A86)</f>
        <v>86</v>
      </c>
      <c r="B108">
        <v>224527990</v>
      </c>
      <c r="C108">
        <v>224527986</v>
      </c>
      <c r="D108">
        <v>223058963</v>
      </c>
      <c r="E108">
        <v>1</v>
      </c>
      <c r="F108">
        <v>1</v>
      </c>
      <c r="G108">
        <v>1</v>
      </c>
      <c r="H108">
        <v>2</v>
      </c>
      <c r="I108" t="s">
        <v>665</v>
      </c>
      <c r="J108" t="s">
        <v>699</v>
      </c>
      <c r="K108" t="s">
        <v>667</v>
      </c>
      <c r="L108">
        <v>1367</v>
      </c>
      <c r="N108">
        <v>1011</v>
      </c>
      <c r="O108" t="s">
        <v>612</v>
      </c>
      <c r="P108" t="s">
        <v>612</v>
      </c>
      <c r="Q108">
        <v>1</v>
      </c>
      <c r="X108">
        <v>0.35</v>
      </c>
      <c r="Y108">
        <v>0</v>
      </c>
      <c r="Z108">
        <v>8.1</v>
      </c>
      <c r="AA108">
        <v>0</v>
      </c>
      <c r="AB108">
        <v>0</v>
      </c>
      <c r="AC108">
        <v>0</v>
      </c>
      <c r="AD108">
        <v>1</v>
      </c>
      <c r="AE108">
        <v>0</v>
      </c>
      <c r="AF108" t="s">
        <v>202</v>
      </c>
      <c r="AG108">
        <v>0.59062500000000007</v>
      </c>
      <c r="AH108">
        <v>2</v>
      </c>
      <c r="AI108">
        <v>224527990</v>
      </c>
      <c r="AJ108">
        <v>90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</row>
    <row r="109" spans="1:44" x14ac:dyDescent="0.2">
      <c r="A109">
        <f>ROW(Source!A86)</f>
        <v>86</v>
      </c>
      <c r="B109">
        <v>224527991</v>
      </c>
      <c r="C109">
        <v>224527986</v>
      </c>
      <c r="D109">
        <v>222906485</v>
      </c>
      <c r="E109">
        <v>1</v>
      </c>
      <c r="F109">
        <v>1</v>
      </c>
      <c r="G109">
        <v>1</v>
      </c>
      <c r="H109">
        <v>3</v>
      </c>
      <c r="I109" t="s">
        <v>722</v>
      </c>
      <c r="J109" t="s">
        <v>723</v>
      </c>
      <c r="K109" t="s">
        <v>724</v>
      </c>
      <c r="L109">
        <v>1407</v>
      </c>
      <c r="N109">
        <v>74472246</v>
      </c>
      <c r="O109" t="s">
        <v>725</v>
      </c>
      <c r="P109" t="s">
        <v>725</v>
      </c>
      <c r="Q109">
        <v>1</v>
      </c>
      <c r="X109">
        <v>2E-3</v>
      </c>
      <c r="Y109">
        <v>3450</v>
      </c>
      <c r="Z109">
        <v>0</v>
      </c>
      <c r="AA109">
        <v>0</v>
      </c>
      <c r="AB109">
        <v>0</v>
      </c>
      <c r="AC109">
        <v>0</v>
      </c>
      <c r="AD109">
        <v>1</v>
      </c>
      <c r="AE109">
        <v>0</v>
      </c>
      <c r="AF109" t="s">
        <v>2</v>
      </c>
      <c r="AG109">
        <v>2E-3</v>
      </c>
      <c r="AH109">
        <v>2</v>
      </c>
      <c r="AI109">
        <v>224527991</v>
      </c>
      <c r="AJ109">
        <v>91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</row>
    <row r="110" spans="1:44" x14ac:dyDescent="0.2">
      <c r="A110">
        <f>ROW(Source!A86)</f>
        <v>86</v>
      </c>
      <c r="B110">
        <v>224527992</v>
      </c>
      <c r="C110">
        <v>224527986</v>
      </c>
      <c r="D110">
        <v>222909549</v>
      </c>
      <c r="E110">
        <v>1</v>
      </c>
      <c r="F110">
        <v>1</v>
      </c>
      <c r="G110">
        <v>1</v>
      </c>
      <c r="H110">
        <v>3</v>
      </c>
      <c r="I110" t="s">
        <v>671</v>
      </c>
      <c r="J110" t="s">
        <v>712</v>
      </c>
      <c r="K110" t="s">
        <v>713</v>
      </c>
      <c r="L110">
        <v>1348</v>
      </c>
      <c r="N110">
        <v>1009</v>
      </c>
      <c r="O110" t="s">
        <v>18</v>
      </c>
      <c r="P110" t="s">
        <v>18</v>
      </c>
      <c r="Q110">
        <v>1000</v>
      </c>
      <c r="X110">
        <v>1.3999999999999999E-4</v>
      </c>
      <c r="Y110">
        <v>10362</v>
      </c>
      <c r="Z110">
        <v>0</v>
      </c>
      <c r="AA110">
        <v>0</v>
      </c>
      <c r="AB110">
        <v>0</v>
      </c>
      <c r="AC110">
        <v>0</v>
      </c>
      <c r="AD110">
        <v>1</v>
      </c>
      <c r="AE110">
        <v>0</v>
      </c>
      <c r="AF110" t="s">
        <v>2</v>
      </c>
      <c r="AG110">
        <v>1.3999999999999999E-4</v>
      </c>
      <c r="AH110">
        <v>2</v>
      </c>
      <c r="AI110">
        <v>224527992</v>
      </c>
      <c r="AJ110">
        <v>92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</row>
    <row r="111" spans="1:44" x14ac:dyDescent="0.2">
      <c r="A111">
        <f>ROW(Source!A86)</f>
        <v>86</v>
      </c>
      <c r="B111">
        <v>224527993</v>
      </c>
      <c r="C111">
        <v>224527986</v>
      </c>
      <c r="D111">
        <v>222910718</v>
      </c>
      <c r="E111">
        <v>1</v>
      </c>
      <c r="F111">
        <v>1</v>
      </c>
      <c r="G111">
        <v>1</v>
      </c>
      <c r="H111">
        <v>3</v>
      </c>
      <c r="I111" t="s">
        <v>726</v>
      </c>
      <c r="J111" t="s">
        <v>727</v>
      </c>
      <c r="K111" t="s">
        <v>728</v>
      </c>
      <c r="L111">
        <v>1348</v>
      </c>
      <c r="N111">
        <v>1009</v>
      </c>
      <c r="O111" t="s">
        <v>18</v>
      </c>
      <c r="P111" t="s">
        <v>18</v>
      </c>
      <c r="Q111">
        <v>1000</v>
      </c>
      <c r="X111">
        <v>1.1000000000000001E-3</v>
      </c>
      <c r="Y111">
        <v>15323</v>
      </c>
      <c r="Z111">
        <v>0</v>
      </c>
      <c r="AA111">
        <v>0</v>
      </c>
      <c r="AB111">
        <v>0</v>
      </c>
      <c r="AC111">
        <v>0</v>
      </c>
      <c r="AD111">
        <v>1</v>
      </c>
      <c r="AE111">
        <v>0</v>
      </c>
      <c r="AF111" t="s">
        <v>2</v>
      </c>
      <c r="AG111">
        <v>1.1000000000000001E-3</v>
      </c>
      <c r="AH111">
        <v>2</v>
      </c>
      <c r="AI111">
        <v>224527993</v>
      </c>
      <c r="AJ111">
        <v>93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</row>
    <row r="112" spans="1:44" x14ac:dyDescent="0.2">
      <c r="A112">
        <f>ROW(Source!A86)</f>
        <v>86</v>
      </c>
      <c r="B112">
        <v>224527994</v>
      </c>
      <c r="C112">
        <v>224527986</v>
      </c>
      <c r="D112">
        <v>222899506</v>
      </c>
      <c r="E112">
        <v>70</v>
      </c>
      <c r="F112">
        <v>1</v>
      </c>
      <c r="G112">
        <v>1</v>
      </c>
      <c r="H112">
        <v>3</v>
      </c>
      <c r="I112" t="s">
        <v>792</v>
      </c>
      <c r="J112" t="s">
        <v>2</v>
      </c>
      <c r="K112" t="s">
        <v>793</v>
      </c>
      <c r="L112">
        <v>1371</v>
      </c>
      <c r="N112">
        <v>74472246</v>
      </c>
      <c r="O112" t="s">
        <v>200</v>
      </c>
      <c r="P112" t="s">
        <v>200</v>
      </c>
      <c r="Q112">
        <v>1</v>
      </c>
      <c r="X112">
        <v>1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 t="s">
        <v>2</v>
      </c>
      <c r="AG112">
        <v>1</v>
      </c>
      <c r="AH112">
        <v>3</v>
      </c>
      <c r="AI112">
        <v>-1</v>
      </c>
      <c r="AJ112" t="s">
        <v>2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</row>
    <row r="113" spans="1:44" x14ac:dyDescent="0.2">
      <c r="A113">
        <f>ROW(Source!A86)</f>
        <v>86</v>
      </c>
      <c r="B113">
        <v>224527995</v>
      </c>
      <c r="C113">
        <v>224527986</v>
      </c>
      <c r="D113">
        <v>222900470</v>
      </c>
      <c r="E113">
        <v>70</v>
      </c>
      <c r="F113">
        <v>1</v>
      </c>
      <c r="G113">
        <v>1</v>
      </c>
      <c r="H113">
        <v>3</v>
      </c>
      <c r="I113" t="s">
        <v>794</v>
      </c>
      <c r="J113" t="s">
        <v>2</v>
      </c>
      <c r="K113" t="s">
        <v>795</v>
      </c>
      <c r="L113">
        <v>1371</v>
      </c>
      <c r="N113">
        <v>74472246</v>
      </c>
      <c r="O113" t="s">
        <v>200</v>
      </c>
      <c r="P113" t="s">
        <v>200</v>
      </c>
      <c r="Q113">
        <v>1</v>
      </c>
      <c r="X113">
        <v>2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 t="s">
        <v>2</v>
      </c>
      <c r="AG113">
        <v>2</v>
      </c>
      <c r="AH113">
        <v>3</v>
      </c>
      <c r="AI113">
        <v>-1</v>
      </c>
      <c r="AJ113" t="s">
        <v>2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</row>
    <row r="114" spans="1:44" x14ac:dyDescent="0.2">
      <c r="A114">
        <f>ROW(Source!A123)</f>
        <v>123</v>
      </c>
      <c r="B114">
        <v>224528093</v>
      </c>
      <c r="C114">
        <v>224528089</v>
      </c>
      <c r="D114">
        <v>222895963</v>
      </c>
      <c r="E114">
        <v>70</v>
      </c>
      <c r="F114">
        <v>1</v>
      </c>
      <c r="G114">
        <v>1</v>
      </c>
      <c r="H114">
        <v>1</v>
      </c>
      <c r="I114" t="s">
        <v>647</v>
      </c>
      <c r="J114" t="s">
        <v>2</v>
      </c>
      <c r="K114" t="s">
        <v>648</v>
      </c>
      <c r="L114">
        <v>1191</v>
      </c>
      <c r="N114">
        <v>74472246</v>
      </c>
      <c r="O114" t="s">
        <v>600</v>
      </c>
      <c r="P114" t="s">
        <v>600</v>
      </c>
      <c r="Q114">
        <v>1</v>
      </c>
      <c r="X114">
        <v>17.489999999999998</v>
      </c>
      <c r="Y114">
        <v>0</v>
      </c>
      <c r="Z114">
        <v>0</v>
      </c>
      <c r="AA114">
        <v>0</v>
      </c>
      <c r="AB114">
        <v>8.5299999999999994</v>
      </c>
      <c r="AC114">
        <v>0</v>
      </c>
      <c r="AD114">
        <v>1</v>
      </c>
      <c r="AE114">
        <v>1</v>
      </c>
      <c r="AF114" t="s">
        <v>218</v>
      </c>
      <c r="AG114">
        <v>5.246999999999999</v>
      </c>
      <c r="AH114">
        <v>2</v>
      </c>
      <c r="AI114">
        <v>224528093</v>
      </c>
      <c r="AJ114">
        <v>94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</row>
    <row r="115" spans="1:44" x14ac:dyDescent="0.2">
      <c r="A115">
        <f>ROW(Source!A123)</f>
        <v>123</v>
      </c>
      <c r="B115">
        <v>224528094</v>
      </c>
      <c r="C115">
        <v>224528089</v>
      </c>
      <c r="D115">
        <v>223058982</v>
      </c>
      <c r="E115">
        <v>1</v>
      </c>
      <c r="F115">
        <v>1</v>
      </c>
      <c r="G115">
        <v>1</v>
      </c>
      <c r="H115">
        <v>2</v>
      </c>
      <c r="I115" t="s">
        <v>729</v>
      </c>
      <c r="J115" t="s">
        <v>730</v>
      </c>
      <c r="K115" t="s">
        <v>731</v>
      </c>
      <c r="L115">
        <v>1367</v>
      </c>
      <c r="N115">
        <v>1011</v>
      </c>
      <c r="O115" t="s">
        <v>612</v>
      </c>
      <c r="P115" t="s">
        <v>612</v>
      </c>
      <c r="Q115">
        <v>1</v>
      </c>
      <c r="X115">
        <v>8.15</v>
      </c>
      <c r="Y115">
        <v>0</v>
      </c>
      <c r="Z115">
        <v>32.5</v>
      </c>
      <c r="AA115">
        <v>0</v>
      </c>
      <c r="AB115">
        <v>0</v>
      </c>
      <c r="AC115">
        <v>0</v>
      </c>
      <c r="AD115">
        <v>1</v>
      </c>
      <c r="AE115">
        <v>0</v>
      </c>
      <c r="AF115" t="s">
        <v>218</v>
      </c>
      <c r="AG115">
        <v>2.4449999999999998</v>
      </c>
      <c r="AH115">
        <v>2</v>
      </c>
      <c r="AI115">
        <v>224528094</v>
      </c>
      <c r="AJ115">
        <v>95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</row>
    <row r="116" spans="1:44" x14ac:dyDescent="0.2">
      <c r="A116">
        <f>ROW(Source!A123)</f>
        <v>123</v>
      </c>
      <c r="B116">
        <v>224528095</v>
      </c>
      <c r="C116">
        <v>224528089</v>
      </c>
      <c r="D116">
        <v>223059439</v>
      </c>
      <c r="E116">
        <v>1</v>
      </c>
      <c r="F116">
        <v>1</v>
      </c>
      <c r="G116">
        <v>1</v>
      </c>
      <c r="H116">
        <v>2</v>
      </c>
      <c r="I116" t="s">
        <v>732</v>
      </c>
      <c r="J116" t="s">
        <v>733</v>
      </c>
      <c r="K116" t="s">
        <v>734</v>
      </c>
      <c r="L116">
        <v>1367</v>
      </c>
      <c r="N116">
        <v>1011</v>
      </c>
      <c r="O116" t="s">
        <v>612</v>
      </c>
      <c r="P116" t="s">
        <v>612</v>
      </c>
      <c r="Q116">
        <v>1</v>
      </c>
      <c r="X116">
        <v>16.3</v>
      </c>
      <c r="Y116">
        <v>0</v>
      </c>
      <c r="Z116">
        <v>1.53</v>
      </c>
      <c r="AA116">
        <v>0</v>
      </c>
      <c r="AB116">
        <v>0</v>
      </c>
      <c r="AC116">
        <v>0</v>
      </c>
      <c r="AD116">
        <v>1</v>
      </c>
      <c r="AE116">
        <v>0</v>
      </c>
      <c r="AF116" t="s">
        <v>218</v>
      </c>
      <c r="AG116">
        <v>4.8899999999999997</v>
      </c>
      <c r="AH116">
        <v>2</v>
      </c>
      <c r="AI116">
        <v>224528095</v>
      </c>
      <c r="AJ116">
        <v>96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</row>
    <row r="117" spans="1:44" x14ac:dyDescent="0.2">
      <c r="A117">
        <f>ROW(Source!A124)</f>
        <v>124</v>
      </c>
      <c r="B117">
        <v>224528097</v>
      </c>
      <c r="C117">
        <v>224528096</v>
      </c>
      <c r="D117">
        <v>222895997</v>
      </c>
      <c r="E117">
        <v>70</v>
      </c>
      <c r="F117">
        <v>1</v>
      </c>
      <c r="G117">
        <v>1</v>
      </c>
      <c r="H117">
        <v>1</v>
      </c>
      <c r="I117" t="s">
        <v>735</v>
      </c>
      <c r="J117" t="s">
        <v>2</v>
      </c>
      <c r="K117" t="s">
        <v>736</v>
      </c>
      <c r="L117">
        <v>1191</v>
      </c>
      <c r="N117">
        <v>74472246</v>
      </c>
      <c r="O117" t="s">
        <v>600</v>
      </c>
      <c r="P117" t="s">
        <v>600</v>
      </c>
      <c r="Q117">
        <v>1</v>
      </c>
      <c r="X117">
        <v>73.34</v>
      </c>
      <c r="Y117">
        <v>0</v>
      </c>
      <c r="Z117">
        <v>0</v>
      </c>
      <c r="AA117">
        <v>0</v>
      </c>
      <c r="AB117">
        <v>9.4</v>
      </c>
      <c r="AC117">
        <v>0</v>
      </c>
      <c r="AD117">
        <v>1</v>
      </c>
      <c r="AE117">
        <v>1</v>
      </c>
      <c r="AF117" t="s">
        <v>225</v>
      </c>
      <c r="AG117">
        <v>92.775099999999995</v>
      </c>
      <c r="AH117">
        <v>2</v>
      </c>
      <c r="AI117">
        <v>224528097</v>
      </c>
      <c r="AJ117">
        <v>97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</row>
    <row r="118" spans="1:44" x14ac:dyDescent="0.2">
      <c r="A118">
        <f>ROW(Source!A124)</f>
        <v>124</v>
      </c>
      <c r="B118">
        <v>224528098</v>
      </c>
      <c r="C118">
        <v>224528096</v>
      </c>
      <c r="D118">
        <v>223058986</v>
      </c>
      <c r="E118">
        <v>1</v>
      </c>
      <c r="F118">
        <v>1</v>
      </c>
      <c r="G118">
        <v>1</v>
      </c>
      <c r="H118">
        <v>2</v>
      </c>
      <c r="I118" t="s">
        <v>737</v>
      </c>
      <c r="J118" t="s">
        <v>738</v>
      </c>
      <c r="K118" t="s">
        <v>739</v>
      </c>
      <c r="L118">
        <v>1367</v>
      </c>
      <c r="N118">
        <v>1011</v>
      </c>
      <c r="O118" t="s">
        <v>612</v>
      </c>
      <c r="P118" t="s">
        <v>612</v>
      </c>
      <c r="Q118">
        <v>1</v>
      </c>
      <c r="X118">
        <v>21.63</v>
      </c>
      <c r="Y118">
        <v>0</v>
      </c>
      <c r="Z118">
        <v>48.81</v>
      </c>
      <c r="AA118">
        <v>0</v>
      </c>
      <c r="AB118">
        <v>0</v>
      </c>
      <c r="AC118">
        <v>0</v>
      </c>
      <c r="AD118">
        <v>1</v>
      </c>
      <c r="AE118">
        <v>0</v>
      </c>
      <c r="AF118" t="s">
        <v>224</v>
      </c>
      <c r="AG118">
        <v>29.741250000000001</v>
      </c>
      <c r="AH118">
        <v>2</v>
      </c>
      <c r="AI118">
        <v>224528098</v>
      </c>
      <c r="AJ118">
        <v>98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</row>
    <row r="119" spans="1:44" x14ac:dyDescent="0.2">
      <c r="A119">
        <f>ROW(Source!A124)</f>
        <v>124</v>
      </c>
      <c r="B119">
        <v>224528099</v>
      </c>
      <c r="C119">
        <v>224528096</v>
      </c>
      <c r="D119">
        <v>223059439</v>
      </c>
      <c r="E119">
        <v>1</v>
      </c>
      <c r="F119">
        <v>1</v>
      </c>
      <c r="G119">
        <v>1</v>
      </c>
      <c r="H119">
        <v>2</v>
      </c>
      <c r="I119" t="s">
        <v>732</v>
      </c>
      <c r="J119" t="s">
        <v>733</v>
      </c>
      <c r="K119" t="s">
        <v>734</v>
      </c>
      <c r="L119">
        <v>1367</v>
      </c>
      <c r="N119">
        <v>1011</v>
      </c>
      <c r="O119" t="s">
        <v>612</v>
      </c>
      <c r="P119" t="s">
        <v>612</v>
      </c>
      <c r="Q119">
        <v>1</v>
      </c>
      <c r="X119">
        <v>43.26</v>
      </c>
      <c r="Y119">
        <v>0</v>
      </c>
      <c r="Z119">
        <v>1.53</v>
      </c>
      <c r="AA119">
        <v>0</v>
      </c>
      <c r="AB119">
        <v>0</v>
      </c>
      <c r="AC119">
        <v>0</v>
      </c>
      <c r="AD119">
        <v>1</v>
      </c>
      <c r="AE119">
        <v>0</v>
      </c>
      <c r="AF119" t="s">
        <v>224</v>
      </c>
      <c r="AG119">
        <v>59.482500000000002</v>
      </c>
      <c r="AH119">
        <v>2</v>
      </c>
      <c r="AI119">
        <v>224528099</v>
      </c>
      <c r="AJ119">
        <v>99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</row>
    <row r="120" spans="1:44" x14ac:dyDescent="0.2">
      <c r="A120">
        <f>ROW(Source!A125)</f>
        <v>125</v>
      </c>
      <c r="B120">
        <v>224528109</v>
      </c>
      <c r="C120">
        <v>224528108</v>
      </c>
      <c r="D120">
        <v>222896001</v>
      </c>
      <c r="E120">
        <v>70</v>
      </c>
      <c r="F120">
        <v>1</v>
      </c>
      <c r="G120">
        <v>1</v>
      </c>
      <c r="H120">
        <v>1</v>
      </c>
      <c r="I120" t="s">
        <v>740</v>
      </c>
      <c r="J120" t="s">
        <v>2</v>
      </c>
      <c r="K120" t="s">
        <v>741</v>
      </c>
      <c r="L120">
        <v>1191</v>
      </c>
      <c r="N120">
        <v>74472246</v>
      </c>
      <c r="O120" t="s">
        <v>600</v>
      </c>
      <c r="P120" t="s">
        <v>600</v>
      </c>
      <c r="Q120">
        <v>1</v>
      </c>
      <c r="X120">
        <v>16.29</v>
      </c>
      <c r="Y120">
        <v>0</v>
      </c>
      <c r="Z120">
        <v>0</v>
      </c>
      <c r="AA120">
        <v>0</v>
      </c>
      <c r="AB120">
        <v>9.51</v>
      </c>
      <c r="AC120">
        <v>0</v>
      </c>
      <c r="AD120">
        <v>1</v>
      </c>
      <c r="AE120">
        <v>1</v>
      </c>
      <c r="AF120" t="s">
        <v>234</v>
      </c>
      <c r="AG120">
        <v>21.177</v>
      </c>
      <c r="AH120">
        <v>2</v>
      </c>
      <c r="AI120">
        <v>224528109</v>
      </c>
      <c r="AJ120">
        <v>100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</row>
    <row r="121" spans="1:44" x14ac:dyDescent="0.2">
      <c r="A121">
        <f>ROW(Source!A125)</f>
        <v>125</v>
      </c>
      <c r="B121">
        <v>224528110</v>
      </c>
      <c r="C121">
        <v>224528108</v>
      </c>
      <c r="D121">
        <v>222896153</v>
      </c>
      <c r="E121">
        <v>70</v>
      </c>
      <c r="F121">
        <v>1</v>
      </c>
      <c r="G121">
        <v>1</v>
      </c>
      <c r="H121">
        <v>1</v>
      </c>
      <c r="I121" t="s">
        <v>607</v>
      </c>
      <c r="J121" t="s">
        <v>2</v>
      </c>
      <c r="K121" t="s">
        <v>608</v>
      </c>
      <c r="L121">
        <v>1191</v>
      </c>
      <c r="N121">
        <v>74472246</v>
      </c>
      <c r="O121" t="s">
        <v>600</v>
      </c>
      <c r="P121" t="s">
        <v>600</v>
      </c>
      <c r="Q121">
        <v>1</v>
      </c>
      <c r="X121">
        <v>0.01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1</v>
      </c>
      <c r="AE121">
        <v>2</v>
      </c>
      <c r="AF121" t="s">
        <v>234</v>
      </c>
      <c r="AG121">
        <v>1.3000000000000001E-2</v>
      </c>
      <c r="AH121">
        <v>2</v>
      </c>
      <c r="AI121">
        <v>224528110</v>
      </c>
      <c r="AJ121">
        <v>101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</row>
    <row r="122" spans="1:44" x14ac:dyDescent="0.2">
      <c r="A122">
        <f>ROW(Source!A125)</f>
        <v>125</v>
      </c>
      <c r="B122">
        <v>224528111</v>
      </c>
      <c r="C122">
        <v>224528108</v>
      </c>
      <c r="D122">
        <v>223058015</v>
      </c>
      <c r="E122">
        <v>1</v>
      </c>
      <c r="F122">
        <v>1</v>
      </c>
      <c r="G122">
        <v>1</v>
      </c>
      <c r="H122">
        <v>2</v>
      </c>
      <c r="I122" t="s">
        <v>613</v>
      </c>
      <c r="J122" t="s">
        <v>614</v>
      </c>
      <c r="K122" t="s">
        <v>615</v>
      </c>
      <c r="L122">
        <v>1367</v>
      </c>
      <c r="N122">
        <v>1011</v>
      </c>
      <c r="O122" t="s">
        <v>612</v>
      </c>
      <c r="P122" t="s">
        <v>612</v>
      </c>
      <c r="Q122">
        <v>1</v>
      </c>
      <c r="X122">
        <v>0.01</v>
      </c>
      <c r="Y122">
        <v>0</v>
      </c>
      <c r="Z122">
        <v>31.26</v>
      </c>
      <c r="AA122">
        <v>13.5</v>
      </c>
      <c r="AB122">
        <v>0</v>
      </c>
      <c r="AC122">
        <v>0</v>
      </c>
      <c r="AD122">
        <v>1</v>
      </c>
      <c r="AE122">
        <v>0</v>
      </c>
      <c r="AF122" t="s">
        <v>234</v>
      </c>
      <c r="AG122">
        <v>1.3000000000000001E-2</v>
      </c>
      <c r="AH122">
        <v>2</v>
      </c>
      <c r="AI122">
        <v>224528111</v>
      </c>
      <c r="AJ122">
        <v>102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</row>
    <row r="123" spans="1:44" x14ac:dyDescent="0.2">
      <c r="A123">
        <f>ROW(Source!A125)</f>
        <v>125</v>
      </c>
      <c r="B123">
        <v>224528112</v>
      </c>
      <c r="C123">
        <v>224528108</v>
      </c>
      <c r="D123">
        <v>222910870</v>
      </c>
      <c r="E123">
        <v>1</v>
      </c>
      <c r="F123">
        <v>1</v>
      </c>
      <c r="G123">
        <v>1</v>
      </c>
      <c r="H123">
        <v>3</v>
      </c>
      <c r="I123" t="s">
        <v>742</v>
      </c>
      <c r="J123" t="s">
        <v>743</v>
      </c>
      <c r="K123" t="s">
        <v>744</v>
      </c>
      <c r="L123">
        <v>1407</v>
      </c>
      <c r="N123">
        <v>74472246</v>
      </c>
      <c r="O123" t="s">
        <v>725</v>
      </c>
      <c r="P123" t="s">
        <v>725</v>
      </c>
      <c r="Q123">
        <v>1</v>
      </c>
      <c r="X123">
        <v>0.2</v>
      </c>
      <c r="Y123">
        <v>180</v>
      </c>
      <c r="Z123">
        <v>0</v>
      </c>
      <c r="AA123">
        <v>0</v>
      </c>
      <c r="AB123">
        <v>0</v>
      </c>
      <c r="AC123">
        <v>0</v>
      </c>
      <c r="AD123">
        <v>1</v>
      </c>
      <c r="AE123">
        <v>0</v>
      </c>
      <c r="AF123" t="s">
        <v>2</v>
      </c>
      <c r="AG123">
        <v>0.2</v>
      </c>
      <c r="AH123">
        <v>2</v>
      </c>
      <c r="AI123">
        <v>224528112</v>
      </c>
      <c r="AJ123">
        <v>103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</row>
    <row r="124" spans="1:44" x14ac:dyDescent="0.2">
      <c r="A124">
        <f>ROW(Source!A125)</f>
        <v>125</v>
      </c>
      <c r="B124">
        <v>224528113</v>
      </c>
      <c r="C124">
        <v>224528108</v>
      </c>
      <c r="D124">
        <v>222911243</v>
      </c>
      <c r="E124">
        <v>1</v>
      </c>
      <c r="F124">
        <v>1</v>
      </c>
      <c r="G124">
        <v>1</v>
      </c>
      <c r="H124">
        <v>3</v>
      </c>
      <c r="I124" t="s">
        <v>745</v>
      </c>
      <c r="J124" t="s">
        <v>746</v>
      </c>
      <c r="K124" t="s">
        <v>747</v>
      </c>
      <c r="L124">
        <v>1348</v>
      </c>
      <c r="N124">
        <v>1009</v>
      </c>
      <c r="O124" t="s">
        <v>18</v>
      </c>
      <c r="P124" t="s">
        <v>18</v>
      </c>
      <c r="Q124">
        <v>1000</v>
      </c>
      <c r="X124">
        <v>1E-3</v>
      </c>
      <c r="Y124">
        <v>12430</v>
      </c>
      <c r="Z124">
        <v>0</v>
      </c>
      <c r="AA124">
        <v>0</v>
      </c>
      <c r="AB124">
        <v>0</v>
      </c>
      <c r="AC124">
        <v>0</v>
      </c>
      <c r="AD124">
        <v>1</v>
      </c>
      <c r="AE124">
        <v>0</v>
      </c>
      <c r="AF124" t="s">
        <v>2</v>
      </c>
      <c r="AG124">
        <v>1E-3</v>
      </c>
      <c r="AH124">
        <v>2</v>
      </c>
      <c r="AI124">
        <v>224528113</v>
      </c>
      <c r="AJ124">
        <v>104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</row>
    <row r="125" spans="1:44" x14ac:dyDescent="0.2">
      <c r="A125">
        <f>ROW(Source!A125)</f>
        <v>125</v>
      </c>
      <c r="B125">
        <v>224528114</v>
      </c>
      <c r="C125">
        <v>224528108</v>
      </c>
      <c r="D125">
        <v>222900886</v>
      </c>
      <c r="E125">
        <v>70</v>
      </c>
      <c r="F125">
        <v>1</v>
      </c>
      <c r="G125">
        <v>1</v>
      </c>
      <c r="H125">
        <v>3</v>
      </c>
      <c r="I125" t="s">
        <v>748</v>
      </c>
      <c r="J125" t="s">
        <v>2</v>
      </c>
      <c r="K125" t="s">
        <v>749</v>
      </c>
      <c r="L125">
        <v>1374</v>
      </c>
      <c r="N125">
        <v>74472246</v>
      </c>
      <c r="O125" t="s">
        <v>750</v>
      </c>
      <c r="P125" t="s">
        <v>750</v>
      </c>
      <c r="Q125">
        <v>1</v>
      </c>
      <c r="X125">
        <v>3.1</v>
      </c>
      <c r="Y125">
        <v>1</v>
      </c>
      <c r="Z125">
        <v>0</v>
      </c>
      <c r="AA125">
        <v>0</v>
      </c>
      <c r="AB125">
        <v>0</v>
      </c>
      <c r="AC125">
        <v>0</v>
      </c>
      <c r="AD125">
        <v>1</v>
      </c>
      <c r="AE125">
        <v>0</v>
      </c>
      <c r="AF125" t="s">
        <v>2</v>
      </c>
      <c r="AG125">
        <v>3.1</v>
      </c>
      <c r="AH125">
        <v>2</v>
      </c>
      <c r="AI125">
        <v>224528114</v>
      </c>
      <c r="AJ125">
        <v>105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</row>
    <row r="126" spans="1:44" x14ac:dyDescent="0.2">
      <c r="A126">
        <f>ROW(Source!A127)</f>
        <v>127</v>
      </c>
      <c r="B126">
        <v>224528125</v>
      </c>
      <c r="C126">
        <v>224528116</v>
      </c>
      <c r="D126">
        <v>222895997</v>
      </c>
      <c r="E126">
        <v>70</v>
      </c>
      <c r="F126">
        <v>1</v>
      </c>
      <c r="G126">
        <v>1</v>
      </c>
      <c r="H126">
        <v>1</v>
      </c>
      <c r="I126" t="s">
        <v>735</v>
      </c>
      <c r="J126" t="s">
        <v>2</v>
      </c>
      <c r="K126" t="s">
        <v>736</v>
      </c>
      <c r="L126">
        <v>1191</v>
      </c>
      <c r="N126">
        <v>74472246</v>
      </c>
      <c r="O126" t="s">
        <v>600</v>
      </c>
      <c r="P126" t="s">
        <v>600</v>
      </c>
      <c r="Q126">
        <v>1</v>
      </c>
      <c r="X126">
        <v>3.76</v>
      </c>
      <c r="Y126">
        <v>0</v>
      </c>
      <c r="Z126">
        <v>0</v>
      </c>
      <c r="AA126">
        <v>0</v>
      </c>
      <c r="AB126">
        <v>9.4</v>
      </c>
      <c r="AC126">
        <v>0</v>
      </c>
      <c r="AD126">
        <v>1</v>
      </c>
      <c r="AE126">
        <v>1</v>
      </c>
      <c r="AF126" t="s">
        <v>250</v>
      </c>
      <c r="AG126">
        <v>5.1324000000000005</v>
      </c>
      <c r="AH126">
        <v>2</v>
      </c>
      <c r="AI126">
        <v>224528125</v>
      </c>
      <c r="AJ126">
        <v>106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</row>
    <row r="127" spans="1:44" x14ac:dyDescent="0.2">
      <c r="A127">
        <f>ROW(Source!A127)</f>
        <v>127</v>
      </c>
      <c r="B127">
        <v>224528126</v>
      </c>
      <c r="C127">
        <v>224528116</v>
      </c>
      <c r="D127">
        <v>222896153</v>
      </c>
      <c r="E127">
        <v>70</v>
      </c>
      <c r="F127">
        <v>1</v>
      </c>
      <c r="G127">
        <v>1</v>
      </c>
      <c r="H127">
        <v>1</v>
      </c>
      <c r="I127" t="s">
        <v>607</v>
      </c>
      <c r="J127" t="s">
        <v>2</v>
      </c>
      <c r="K127" t="s">
        <v>608</v>
      </c>
      <c r="L127">
        <v>1191</v>
      </c>
      <c r="N127">
        <v>74472246</v>
      </c>
      <c r="O127" t="s">
        <v>600</v>
      </c>
      <c r="P127" t="s">
        <v>600</v>
      </c>
      <c r="Q127">
        <v>1</v>
      </c>
      <c r="X127">
        <v>0.02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1</v>
      </c>
      <c r="AE127">
        <v>2</v>
      </c>
      <c r="AF127" t="s">
        <v>234</v>
      </c>
      <c r="AG127">
        <v>2.6000000000000002E-2</v>
      </c>
      <c r="AH127">
        <v>2</v>
      </c>
      <c r="AI127">
        <v>224528126</v>
      </c>
      <c r="AJ127">
        <v>107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</row>
    <row r="128" spans="1:44" x14ac:dyDescent="0.2">
      <c r="A128">
        <f>ROW(Source!A127)</f>
        <v>127</v>
      </c>
      <c r="B128">
        <v>224528127</v>
      </c>
      <c r="C128">
        <v>224528116</v>
      </c>
      <c r="D128">
        <v>223057821</v>
      </c>
      <c r="E128">
        <v>1</v>
      </c>
      <c r="F128">
        <v>1</v>
      </c>
      <c r="G128">
        <v>1</v>
      </c>
      <c r="H128">
        <v>2</v>
      </c>
      <c r="I128" t="s">
        <v>751</v>
      </c>
      <c r="J128" t="s">
        <v>752</v>
      </c>
      <c r="K128" t="s">
        <v>753</v>
      </c>
      <c r="L128">
        <v>1367</v>
      </c>
      <c r="N128">
        <v>1011</v>
      </c>
      <c r="O128" t="s">
        <v>612</v>
      </c>
      <c r="P128" t="s">
        <v>612</v>
      </c>
      <c r="Q128">
        <v>1</v>
      </c>
      <c r="X128">
        <v>0.01</v>
      </c>
      <c r="Y128">
        <v>0</v>
      </c>
      <c r="Z128">
        <v>115.4</v>
      </c>
      <c r="AA128">
        <v>13.5</v>
      </c>
      <c r="AB128">
        <v>0</v>
      </c>
      <c r="AC128">
        <v>0</v>
      </c>
      <c r="AD128">
        <v>1</v>
      </c>
      <c r="AE128">
        <v>0</v>
      </c>
      <c r="AF128" t="s">
        <v>234</v>
      </c>
      <c r="AG128">
        <v>1.3000000000000001E-2</v>
      </c>
      <c r="AH128">
        <v>2</v>
      </c>
      <c r="AI128">
        <v>224528127</v>
      </c>
      <c r="AJ128">
        <v>108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</row>
    <row r="129" spans="1:44" x14ac:dyDescent="0.2">
      <c r="A129">
        <f>ROW(Source!A127)</f>
        <v>127</v>
      </c>
      <c r="B129">
        <v>224528128</v>
      </c>
      <c r="C129">
        <v>224528116</v>
      </c>
      <c r="D129">
        <v>223058751</v>
      </c>
      <c r="E129">
        <v>1</v>
      </c>
      <c r="F129">
        <v>1</v>
      </c>
      <c r="G129">
        <v>1</v>
      </c>
      <c r="H129">
        <v>2</v>
      </c>
      <c r="I129" t="s">
        <v>624</v>
      </c>
      <c r="J129" t="s">
        <v>625</v>
      </c>
      <c r="K129" t="s">
        <v>626</v>
      </c>
      <c r="L129">
        <v>1367</v>
      </c>
      <c r="N129">
        <v>1011</v>
      </c>
      <c r="O129" t="s">
        <v>612</v>
      </c>
      <c r="P129" t="s">
        <v>612</v>
      </c>
      <c r="Q129">
        <v>1</v>
      </c>
      <c r="X129">
        <v>0.01</v>
      </c>
      <c r="Y129">
        <v>0</v>
      </c>
      <c r="Z129">
        <v>65.709999999999994</v>
      </c>
      <c r="AA129">
        <v>11.6</v>
      </c>
      <c r="AB129">
        <v>0</v>
      </c>
      <c r="AC129">
        <v>0</v>
      </c>
      <c r="AD129">
        <v>1</v>
      </c>
      <c r="AE129">
        <v>0</v>
      </c>
      <c r="AF129" t="s">
        <v>234</v>
      </c>
      <c r="AG129">
        <v>1.3000000000000001E-2</v>
      </c>
      <c r="AH129">
        <v>2</v>
      </c>
      <c r="AI129">
        <v>224528128</v>
      </c>
      <c r="AJ129">
        <v>109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</row>
    <row r="130" spans="1:44" x14ac:dyDescent="0.2">
      <c r="A130">
        <f>ROW(Source!A127)</f>
        <v>127</v>
      </c>
      <c r="B130">
        <v>224528129</v>
      </c>
      <c r="C130">
        <v>224528116</v>
      </c>
      <c r="D130">
        <v>222908729</v>
      </c>
      <c r="E130">
        <v>1</v>
      </c>
      <c r="F130">
        <v>1</v>
      </c>
      <c r="G130">
        <v>1</v>
      </c>
      <c r="H130">
        <v>3</v>
      </c>
      <c r="I130" t="s">
        <v>754</v>
      </c>
      <c r="J130" t="s">
        <v>755</v>
      </c>
      <c r="K130" t="s">
        <v>756</v>
      </c>
      <c r="L130">
        <v>1346</v>
      </c>
      <c r="N130">
        <v>1009</v>
      </c>
      <c r="O130" t="s">
        <v>33</v>
      </c>
      <c r="P130" t="s">
        <v>33</v>
      </c>
      <c r="Q130">
        <v>1</v>
      </c>
      <c r="X130">
        <v>0.16</v>
      </c>
      <c r="Y130">
        <v>30.4</v>
      </c>
      <c r="Z130">
        <v>0</v>
      </c>
      <c r="AA130">
        <v>0</v>
      </c>
      <c r="AB130">
        <v>0</v>
      </c>
      <c r="AC130">
        <v>0</v>
      </c>
      <c r="AD130">
        <v>1</v>
      </c>
      <c r="AE130">
        <v>0</v>
      </c>
      <c r="AF130" t="s">
        <v>2</v>
      </c>
      <c r="AG130">
        <v>0.16</v>
      </c>
      <c r="AH130">
        <v>2</v>
      </c>
      <c r="AI130">
        <v>224528129</v>
      </c>
      <c r="AJ130">
        <v>110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</row>
    <row r="131" spans="1:44" x14ac:dyDescent="0.2">
      <c r="A131">
        <f>ROW(Source!A127)</f>
        <v>127</v>
      </c>
      <c r="B131">
        <v>224528130</v>
      </c>
      <c r="C131">
        <v>224528116</v>
      </c>
      <c r="D131">
        <v>222908747</v>
      </c>
      <c r="E131">
        <v>1</v>
      </c>
      <c r="F131">
        <v>1</v>
      </c>
      <c r="G131">
        <v>1</v>
      </c>
      <c r="H131">
        <v>3</v>
      </c>
      <c r="I131" t="s">
        <v>757</v>
      </c>
      <c r="J131" t="s">
        <v>758</v>
      </c>
      <c r="K131" t="s">
        <v>759</v>
      </c>
      <c r="L131">
        <v>1302</v>
      </c>
      <c r="N131">
        <v>1003</v>
      </c>
      <c r="O131" t="s">
        <v>760</v>
      </c>
      <c r="P131" t="s">
        <v>760</v>
      </c>
      <c r="Q131">
        <v>10</v>
      </c>
      <c r="X131">
        <v>0.55000000000000004</v>
      </c>
      <c r="Y131">
        <v>6.9</v>
      </c>
      <c r="Z131">
        <v>0</v>
      </c>
      <c r="AA131">
        <v>0</v>
      </c>
      <c r="AB131">
        <v>0</v>
      </c>
      <c r="AC131">
        <v>0</v>
      </c>
      <c r="AD131">
        <v>1</v>
      </c>
      <c r="AE131">
        <v>0</v>
      </c>
      <c r="AF131" t="s">
        <v>2</v>
      </c>
      <c r="AG131">
        <v>0.55000000000000004</v>
      </c>
      <c r="AH131">
        <v>2</v>
      </c>
      <c r="AI131">
        <v>224528130</v>
      </c>
      <c r="AJ131">
        <v>111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</row>
    <row r="132" spans="1:44" x14ac:dyDescent="0.2">
      <c r="A132">
        <f>ROW(Source!A127)</f>
        <v>127</v>
      </c>
      <c r="B132">
        <v>224528131</v>
      </c>
      <c r="C132">
        <v>224528116</v>
      </c>
      <c r="D132">
        <v>222939833</v>
      </c>
      <c r="E132">
        <v>1</v>
      </c>
      <c r="F132">
        <v>1</v>
      </c>
      <c r="G132">
        <v>1</v>
      </c>
      <c r="H132">
        <v>3</v>
      </c>
      <c r="I132" t="s">
        <v>761</v>
      </c>
      <c r="J132" t="s">
        <v>762</v>
      </c>
      <c r="K132" t="s">
        <v>763</v>
      </c>
      <c r="L132">
        <v>1346</v>
      </c>
      <c r="N132">
        <v>1009</v>
      </c>
      <c r="O132" t="s">
        <v>33</v>
      </c>
      <c r="P132" t="s">
        <v>33</v>
      </c>
      <c r="Q132">
        <v>1</v>
      </c>
      <c r="X132">
        <v>0.05</v>
      </c>
      <c r="Y132">
        <v>28.6</v>
      </c>
      <c r="Z132">
        <v>0</v>
      </c>
      <c r="AA132">
        <v>0</v>
      </c>
      <c r="AB132">
        <v>0</v>
      </c>
      <c r="AC132">
        <v>0</v>
      </c>
      <c r="AD132">
        <v>1</v>
      </c>
      <c r="AE132">
        <v>0</v>
      </c>
      <c r="AF132" t="s">
        <v>2</v>
      </c>
      <c r="AG132">
        <v>0.05</v>
      </c>
      <c r="AH132">
        <v>2</v>
      </c>
      <c r="AI132">
        <v>224528131</v>
      </c>
      <c r="AJ132">
        <v>112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</row>
    <row r="133" spans="1:44" x14ac:dyDescent="0.2">
      <c r="A133">
        <f>ROW(Source!A127)</f>
        <v>127</v>
      </c>
      <c r="B133">
        <v>224528132</v>
      </c>
      <c r="C133">
        <v>224528116</v>
      </c>
      <c r="D133">
        <v>222900886</v>
      </c>
      <c r="E133">
        <v>70</v>
      </c>
      <c r="F133">
        <v>1</v>
      </c>
      <c r="G133">
        <v>1</v>
      </c>
      <c r="H133">
        <v>3</v>
      </c>
      <c r="I133" t="s">
        <v>748</v>
      </c>
      <c r="J133" t="s">
        <v>2</v>
      </c>
      <c r="K133" t="s">
        <v>749</v>
      </c>
      <c r="L133">
        <v>1374</v>
      </c>
      <c r="N133">
        <v>74472246</v>
      </c>
      <c r="O133" t="s">
        <v>750</v>
      </c>
      <c r="P133" t="s">
        <v>750</v>
      </c>
      <c r="Q133">
        <v>1</v>
      </c>
      <c r="X133">
        <v>0.71</v>
      </c>
      <c r="Y133">
        <v>1</v>
      </c>
      <c r="Z133">
        <v>0</v>
      </c>
      <c r="AA133">
        <v>0</v>
      </c>
      <c r="AB133">
        <v>0</v>
      </c>
      <c r="AC133">
        <v>0</v>
      </c>
      <c r="AD133">
        <v>1</v>
      </c>
      <c r="AE133">
        <v>0</v>
      </c>
      <c r="AF133" t="s">
        <v>2</v>
      </c>
      <c r="AG133">
        <v>0.71</v>
      </c>
      <c r="AH133">
        <v>2</v>
      </c>
      <c r="AI133">
        <v>224528132</v>
      </c>
      <c r="AJ133">
        <v>113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</row>
    <row r="134" spans="1:44" x14ac:dyDescent="0.2">
      <c r="A134">
        <f>ROW(Source!A164)</f>
        <v>164</v>
      </c>
      <c r="B134">
        <v>224528199</v>
      </c>
      <c r="C134">
        <v>224528192</v>
      </c>
      <c r="D134">
        <v>178394079</v>
      </c>
      <c r="E134">
        <v>70</v>
      </c>
      <c r="F134">
        <v>1</v>
      </c>
      <c r="G134">
        <v>1</v>
      </c>
      <c r="H134">
        <v>1</v>
      </c>
      <c r="I134" t="s">
        <v>605</v>
      </c>
      <c r="J134" t="s">
        <v>2</v>
      </c>
      <c r="K134" t="s">
        <v>606</v>
      </c>
      <c r="L134">
        <v>1191</v>
      </c>
      <c r="N134">
        <v>74472246</v>
      </c>
      <c r="O134" t="s">
        <v>600</v>
      </c>
      <c r="P134" t="s">
        <v>600</v>
      </c>
      <c r="Q134">
        <v>1</v>
      </c>
      <c r="X134">
        <v>42.01</v>
      </c>
      <c r="Y134">
        <v>0</v>
      </c>
      <c r="Z134">
        <v>0</v>
      </c>
      <c r="AA134">
        <v>0</v>
      </c>
      <c r="AB134">
        <v>8.4600000000000009</v>
      </c>
      <c r="AC134">
        <v>0</v>
      </c>
      <c r="AD134">
        <v>1</v>
      </c>
      <c r="AE134">
        <v>1</v>
      </c>
      <c r="AF134" t="s">
        <v>2</v>
      </c>
      <c r="AG134">
        <v>42.01</v>
      </c>
      <c r="AH134">
        <v>2</v>
      </c>
      <c r="AI134">
        <v>224528193</v>
      </c>
      <c r="AJ134">
        <v>114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</row>
    <row r="135" spans="1:44" x14ac:dyDescent="0.2">
      <c r="A135">
        <f>ROW(Source!A164)</f>
        <v>164</v>
      </c>
      <c r="B135">
        <v>224528200</v>
      </c>
      <c r="C135">
        <v>224528192</v>
      </c>
      <c r="D135">
        <v>178392216</v>
      </c>
      <c r="E135">
        <v>70</v>
      </c>
      <c r="F135">
        <v>1</v>
      </c>
      <c r="G135">
        <v>1</v>
      </c>
      <c r="H135">
        <v>1</v>
      </c>
      <c r="I135" t="s">
        <v>607</v>
      </c>
      <c r="J135" t="s">
        <v>2</v>
      </c>
      <c r="K135" t="s">
        <v>608</v>
      </c>
      <c r="L135">
        <v>1191</v>
      </c>
      <c r="N135">
        <v>74472246</v>
      </c>
      <c r="O135" t="s">
        <v>600</v>
      </c>
      <c r="P135" t="s">
        <v>600</v>
      </c>
      <c r="Q135">
        <v>1</v>
      </c>
      <c r="X135">
        <v>0.99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1</v>
      </c>
      <c r="AE135">
        <v>2</v>
      </c>
      <c r="AF135" t="s">
        <v>2</v>
      </c>
      <c r="AG135">
        <v>0.99</v>
      </c>
      <c r="AH135">
        <v>2</v>
      </c>
      <c r="AI135">
        <v>224528194</v>
      </c>
      <c r="AJ135">
        <v>115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</row>
    <row r="136" spans="1:44" x14ac:dyDescent="0.2">
      <c r="A136">
        <f>ROW(Source!A164)</f>
        <v>164</v>
      </c>
      <c r="B136">
        <v>224528201</v>
      </c>
      <c r="C136">
        <v>224528192</v>
      </c>
      <c r="D136">
        <v>223057975</v>
      </c>
      <c r="E136">
        <v>1</v>
      </c>
      <c r="F136">
        <v>1</v>
      </c>
      <c r="G136">
        <v>1</v>
      </c>
      <c r="H136">
        <v>2</v>
      </c>
      <c r="I136" t="s">
        <v>609</v>
      </c>
      <c r="J136" t="s">
        <v>610</v>
      </c>
      <c r="K136" t="s">
        <v>611</v>
      </c>
      <c r="L136">
        <v>1367</v>
      </c>
      <c r="N136">
        <v>1011</v>
      </c>
      <c r="O136" t="s">
        <v>612</v>
      </c>
      <c r="P136" t="s">
        <v>612</v>
      </c>
      <c r="Q136">
        <v>1</v>
      </c>
      <c r="X136">
        <v>0.02</v>
      </c>
      <c r="Y136">
        <v>0</v>
      </c>
      <c r="Z136">
        <v>89.99</v>
      </c>
      <c r="AA136">
        <v>10.06</v>
      </c>
      <c r="AB136">
        <v>0</v>
      </c>
      <c r="AC136">
        <v>0</v>
      </c>
      <c r="AD136">
        <v>1</v>
      </c>
      <c r="AE136">
        <v>0</v>
      </c>
      <c r="AF136" t="s">
        <v>2</v>
      </c>
      <c r="AG136">
        <v>0.02</v>
      </c>
      <c r="AH136">
        <v>2</v>
      </c>
      <c r="AI136">
        <v>224528195</v>
      </c>
      <c r="AJ136">
        <v>116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</row>
    <row r="137" spans="1:44" x14ac:dyDescent="0.2">
      <c r="A137">
        <f>ROW(Source!A164)</f>
        <v>164</v>
      </c>
      <c r="B137">
        <v>224528202</v>
      </c>
      <c r="C137">
        <v>224528192</v>
      </c>
      <c r="D137">
        <v>223058015</v>
      </c>
      <c r="E137">
        <v>1</v>
      </c>
      <c r="F137">
        <v>1</v>
      </c>
      <c r="G137">
        <v>1</v>
      </c>
      <c r="H137">
        <v>2</v>
      </c>
      <c r="I137" t="s">
        <v>613</v>
      </c>
      <c r="J137" t="s">
        <v>614</v>
      </c>
      <c r="K137" t="s">
        <v>615</v>
      </c>
      <c r="L137">
        <v>1367</v>
      </c>
      <c r="N137">
        <v>1011</v>
      </c>
      <c r="O137" t="s">
        <v>612</v>
      </c>
      <c r="P137" t="s">
        <v>612</v>
      </c>
      <c r="Q137">
        <v>1</v>
      </c>
      <c r="X137">
        <v>0.22</v>
      </c>
      <c r="Y137">
        <v>0</v>
      </c>
      <c r="Z137">
        <v>31.26</v>
      </c>
      <c r="AA137">
        <v>13.5</v>
      </c>
      <c r="AB137">
        <v>0</v>
      </c>
      <c r="AC137">
        <v>0</v>
      </c>
      <c r="AD137">
        <v>1</v>
      </c>
      <c r="AE137">
        <v>0</v>
      </c>
      <c r="AF137" t="s">
        <v>2</v>
      </c>
      <c r="AG137">
        <v>0.22</v>
      </c>
      <c r="AH137">
        <v>2</v>
      </c>
      <c r="AI137">
        <v>224528196</v>
      </c>
      <c r="AJ137">
        <v>117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</row>
    <row r="138" spans="1:44" x14ac:dyDescent="0.2">
      <c r="A138">
        <f>ROW(Source!A164)</f>
        <v>164</v>
      </c>
      <c r="B138">
        <v>224528203</v>
      </c>
      <c r="C138">
        <v>224528192</v>
      </c>
      <c r="D138">
        <v>223058138</v>
      </c>
      <c r="E138">
        <v>1</v>
      </c>
      <c r="F138">
        <v>1</v>
      </c>
      <c r="G138">
        <v>1</v>
      </c>
      <c r="H138">
        <v>2</v>
      </c>
      <c r="I138" t="s">
        <v>616</v>
      </c>
      <c r="J138" t="s">
        <v>617</v>
      </c>
      <c r="K138" t="s">
        <v>618</v>
      </c>
      <c r="L138">
        <v>1367</v>
      </c>
      <c r="N138">
        <v>1011</v>
      </c>
      <c r="O138" t="s">
        <v>612</v>
      </c>
      <c r="P138" t="s">
        <v>612</v>
      </c>
      <c r="Q138">
        <v>1</v>
      </c>
      <c r="X138">
        <v>0.75</v>
      </c>
      <c r="Y138">
        <v>0</v>
      </c>
      <c r="Z138">
        <v>12.39</v>
      </c>
      <c r="AA138">
        <v>10.06</v>
      </c>
      <c r="AB138">
        <v>0</v>
      </c>
      <c r="AC138">
        <v>0</v>
      </c>
      <c r="AD138">
        <v>1</v>
      </c>
      <c r="AE138">
        <v>0</v>
      </c>
      <c r="AF138" t="s">
        <v>2</v>
      </c>
      <c r="AG138">
        <v>0.75</v>
      </c>
      <c r="AH138">
        <v>2</v>
      </c>
      <c r="AI138">
        <v>224528197</v>
      </c>
      <c r="AJ138">
        <v>118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</row>
    <row r="139" spans="1:44" x14ac:dyDescent="0.2">
      <c r="A139">
        <f>ROW(Source!A164)</f>
        <v>164</v>
      </c>
      <c r="B139">
        <v>224528204</v>
      </c>
      <c r="C139">
        <v>224528192</v>
      </c>
      <c r="D139">
        <v>222908451</v>
      </c>
      <c r="E139">
        <v>1</v>
      </c>
      <c r="F139">
        <v>1</v>
      </c>
      <c r="G139">
        <v>1</v>
      </c>
      <c r="H139">
        <v>3</v>
      </c>
      <c r="I139" t="s">
        <v>619</v>
      </c>
      <c r="J139" t="s">
        <v>620</v>
      </c>
      <c r="K139" t="s">
        <v>621</v>
      </c>
      <c r="L139">
        <v>1339</v>
      </c>
      <c r="N139">
        <v>1007</v>
      </c>
      <c r="O139" t="s">
        <v>215</v>
      </c>
      <c r="P139" t="s">
        <v>215</v>
      </c>
      <c r="Q139">
        <v>1</v>
      </c>
      <c r="X139">
        <v>0.54300000000000004</v>
      </c>
      <c r="Y139">
        <v>2.44</v>
      </c>
      <c r="Z139">
        <v>0</v>
      </c>
      <c r="AA139">
        <v>0</v>
      </c>
      <c r="AB139">
        <v>0</v>
      </c>
      <c r="AC139">
        <v>0</v>
      </c>
      <c r="AD139">
        <v>1</v>
      </c>
      <c r="AE139">
        <v>0</v>
      </c>
      <c r="AF139" t="s">
        <v>2</v>
      </c>
      <c r="AG139">
        <v>0.54300000000000004</v>
      </c>
      <c r="AH139">
        <v>2</v>
      </c>
      <c r="AI139">
        <v>224528198</v>
      </c>
      <c r="AJ139">
        <v>119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</row>
    <row r="140" spans="1:44" x14ac:dyDescent="0.2">
      <c r="A140">
        <f>ROW(Source!A164)</f>
        <v>164</v>
      </c>
      <c r="B140">
        <v>224528205</v>
      </c>
      <c r="C140">
        <v>224528192</v>
      </c>
      <c r="D140">
        <v>222897076</v>
      </c>
      <c r="E140">
        <v>70</v>
      </c>
      <c r="F140">
        <v>1</v>
      </c>
      <c r="G140">
        <v>1</v>
      </c>
      <c r="H140">
        <v>3</v>
      </c>
      <c r="I140" t="s">
        <v>764</v>
      </c>
      <c r="J140" t="s">
        <v>2</v>
      </c>
      <c r="K140" t="s">
        <v>765</v>
      </c>
      <c r="L140">
        <v>1348</v>
      </c>
      <c r="N140">
        <v>1009</v>
      </c>
      <c r="O140" t="s">
        <v>18</v>
      </c>
      <c r="P140" t="s">
        <v>18</v>
      </c>
      <c r="Q140">
        <v>1000</v>
      </c>
      <c r="X140">
        <v>0.90700000000000003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 t="s">
        <v>2</v>
      </c>
      <c r="AG140">
        <v>0.90700000000000003</v>
      </c>
      <c r="AH140">
        <v>3</v>
      </c>
      <c r="AI140">
        <v>-1</v>
      </c>
      <c r="AJ140" t="s">
        <v>2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</row>
    <row r="141" spans="1:44" x14ac:dyDescent="0.2">
      <c r="A141">
        <f>ROW(Source!A164)</f>
        <v>164</v>
      </c>
      <c r="B141">
        <v>224528206</v>
      </c>
      <c r="C141">
        <v>224528192</v>
      </c>
      <c r="D141">
        <v>222899165</v>
      </c>
      <c r="E141">
        <v>70</v>
      </c>
      <c r="F141">
        <v>1</v>
      </c>
      <c r="G141">
        <v>1</v>
      </c>
      <c r="H141">
        <v>3</v>
      </c>
      <c r="I141" t="s">
        <v>766</v>
      </c>
      <c r="J141" t="s">
        <v>2</v>
      </c>
      <c r="K141" t="s">
        <v>767</v>
      </c>
      <c r="L141">
        <v>1348</v>
      </c>
      <c r="N141">
        <v>1009</v>
      </c>
      <c r="O141" t="s">
        <v>18</v>
      </c>
      <c r="P141" t="s">
        <v>18</v>
      </c>
      <c r="Q141">
        <v>1000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1</v>
      </c>
      <c r="AD141">
        <v>0</v>
      </c>
      <c r="AE141">
        <v>0</v>
      </c>
      <c r="AF141" t="s">
        <v>2</v>
      </c>
      <c r="AG141">
        <v>0</v>
      </c>
      <c r="AH141">
        <v>3</v>
      </c>
      <c r="AI141">
        <v>-1</v>
      </c>
      <c r="AJ141" t="s">
        <v>2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</row>
    <row r="142" spans="1:44" x14ac:dyDescent="0.2">
      <c r="A142">
        <f>ROW(Source!A167)</f>
        <v>167</v>
      </c>
      <c r="B142">
        <v>224528235</v>
      </c>
      <c r="C142">
        <v>224528209</v>
      </c>
      <c r="D142">
        <v>222895971</v>
      </c>
      <c r="E142">
        <v>70</v>
      </c>
      <c r="F142">
        <v>1</v>
      </c>
      <c r="G142">
        <v>1</v>
      </c>
      <c r="H142">
        <v>1</v>
      </c>
      <c r="I142" t="s">
        <v>622</v>
      </c>
      <c r="J142" t="s">
        <v>2</v>
      </c>
      <c r="K142" t="s">
        <v>623</v>
      </c>
      <c r="L142">
        <v>1191</v>
      </c>
      <c r="N142">
        <v>74472246</v>
      </c>
      <c r="O142" t="s">
        <v>600</v>
      </c>
      <c r="P142" t="s">
        <v>600</v>
      </c>
      <c r="Q142">
        <v>1</v>
      </c>
      <c r="X142">
        <v>15.4</v>
      </c>
      <c r="Y142">
        <v>0</v>
      </c>
      <c r="Z142">
        <v>0</v>
      </c>
      <c r="AA142">
        <v>0</v>
      </c>
      <c r="AB142">
        <v>8.9700000000000006</v>
      </c>
      <c r="AC142">
        <v>0</v>
      </c>
      <c r="AD142">
        <v>1</v>
      </c>
      <c r="AE142">
        <v>1</v>
      </c>
      <c r="AF142" t="s">
        <v>179</v>
      </c>
      <c r="AG142">
        <v>17.709999999999997</v>
      </c>
      <c r="AH142">
        <v>2</v>
      </c>
      <c r="AI142">
        <v>224528235</v>
      </c>
      <c r="AJ142">
        <v>120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</row>
    <row r="143" spans="1:44" x14ac:dyDescent="0.2">
      <c r="A143">
        <f>ROW(Source!A167)</f>
        <v>167</v>
      </c>
      <c r="B143">
        <v>224528236</v>
      </c>
      <c r="C143">
        <v>224528209</v>
      </c>
      <c r="D143">
        <v>222896153</v>
      </c>
      <c r="E143">
        <v>70</v>
      </c>
      <c r="F143">
        <v>1</v>
      </c>
      <c r="G143">
        <v>1</v>
      </c>
      <c r="H143">
        <v>1</v>
      </c>
      <c r="I143" t="s">
        <v>607</v>
      </c>
      <c r="J143" t="s">
        <v>2</v>
      </c>
      <c r="K143" t="s">
        <v>608</v>
      </c>
      <c r="L143">
        <v>1191</v>
      </c>
      <c r="N143">
        <v>74472246</v>
      </c>
      <c r="O143" t="s">
        <v>600</v>
      </c>
      <c r="P143" t="s">
        <v>600</v>
      </c>
      <c r="Q143">
        <v>1</v>
      </c>
      <c r="X143">
        <v>0.1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1</v>
      </c>
      <c r="AE143">
        <v>2</v>
      </c>
      <c r="AF143" t="s">
        <v>266</v>
      </c>
      <c r="AG143">
        <v>0.125</v>
      </c>
      <c r="AH143">
        <v>2</v>
      </c>
      <c r="AI143">
        <v>224528236</v>
      </c>
      <c r="AJ143">
        <v>121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</row>
    <row r="144" spans="1:44" x14ac:dyDescent="0.2">
      <c r="A144">
        <f>ROW(Source!A167)</f>
        <v>167</v>
      </c>
      <c r="B144">
        <v>224528237</v>
      </c>
      <c r="C144">
        <v>224528209</v>
      </c>
      <c r="D144">
        <v>223058015</v>
      </c>
      <c r="E144">
        <v>1</v>
      </c>
      <c r="F144">
        <v>1</v>
      </c>
      <c r="G144">
        <v>1</v>
      </c>
      <c r="H144">
        <v>2</v>
      </c>
      <c r="I144" t="s">
        <v>613</v>
      </c>
      <c r="J144" t="s">
        <v>614</v>
      </c>
      <c r="K144" t="s">
        <v>615</v>
      </c>
      <c r="L144">
        <v>1367</v>
      </c>
      <c r="N144">
        <v>1011</v>
      </c>
      <c r="O144" t="s">
        <v>612</v>
      </c>
      <c r="P144" t="s">
        <v>612</v>
      </c>
      <c r="Q144">
        <v>1</v>
      </c>
      <c r="X144">
        <v>0.01</v>
      </c>
      <c r="Y144">
        <v>0</v>
      </c>
      <c r="Z144">
        <v>31.26</v>
      </c>
      <c r="AA144">
        <v>13.5</v>
      </c>
      <c r="AB144">
        <v>0</v>
      </c>
      <c r="AC144">
        <v>0</v>
      </c>
      <c r="AD144">
        <v>1</v>
      </c>
      <c r="AE144">
        <v>0</v>
      </c>
      <c r="AF144" t="s">
        <v>266</v>
      </c>
      <c r="AG144">
        <v>1.2500000000000001E-2</v>
      </c>
      <c r="AH144">
        <v>2</v>
      </c>
      <c r="AI144">
        <v>224528237</v>
      </c>
      <c r="AJ144">
        <v>122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</row>
    <row r="145" spans="1:44" x14ac:dyDescent="0.2">
      <c r="A145">
        <f>ROW(Source!A167)</f>
        <v>167</v>
      </c>
      <c r="B145">
        <v>224528238</v>
      </c>
      <c r="C145">
        <v>224528209</v>
      </c>
      <c r="D145">
        <v>223058751</v>
      </c>
      <c r="E145">
        <v>1</v>
      </c>
      <c r="F145">
        <v>1</v>
      </c>
      <c r="G145">
        <v>1</v>
      </c>
      <c r="H145">
        <v>2</v>
      </c>
      <c r="I145" t="s">
        <v>624</v>
      </c>
      <c r="J145" t="s">
        <v>625</v>
      </c>
      <c r="K145" t="s">
        <v>626</v>
      </c>
      <c r="L145">
        <v>1367</v>
      </c>
      <c r="N145">
        <v>1011</v>
      </c>
      <c r="O145" t="s">
        <v>612</v>
      </c>
      <c r="P145" t="s">
        <v>612</v>
      </c>
      <c r="Q145">
        <v>1</v>
      </c>
      <c r="X145">
        <v>0.09</v>
      </c>
      <c r="Y145">
        <v>0</v>
      </c>
      <c r="Z145">
        <v>65.709999999999994</v>
      </c>
      <c r="AA145">
        <v>11.6</v>
      </c>
      <c r="AB145">
        <v>0</v>
      </c>
      <c r="AC145">
        <v>0</v>
      </c>
      <c r="AD145">
        <v>1</v>
      </c>
      <c r="AE145">
        <v>0</v>
      </c>
      <c r="AF145" t="s">
        <v>266</v>
      </c>
      <c r="AG145">
        <v>0.11249999999999999</v>
      </c>
      <c r="AH145">
        <v>2</v>
      </c>
      <c r="AI145">
        <v>224528238</v>
      </c>
      <c r="AJ145">
        <v>123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</row>
    <row r="146" spans="1:44" x14ac:dyDescent="0.2">
      <c r="A146">
        <f>ROW(Source!A167)</f>
        <v>167</v>
      </c>
      <c r="B146">
        <v>224528239</v>
      </c>
      <c r="C146">
        <v>224528209</v>
      </c>
      <c r="D146">
        <v>222911579</v>
      </c>
      <c r="E146">
        <v>1</v>
      </c>
      <c r="F146">
        <v>1</v>
      </c>
      <c r="G146">
        <v>1</v>
      </c>
      <c r="H146">
        <v>3</v>
      </c>
      <c r="I146" t="s">
        <v>627</v>
      </c>
      <c r="J146" t="s">
        <v>628</v>
      </c>
      <c r="K146" t="s">
        <v>629</v>
      </c>
      <c r="L146">
        <v>1327</v>
      </c>
      <c r="N146">
        <v>1005</v>
      </c>
      <c r="O146" t="s">
        <v>73</v>
      </c>
      <c r="P146" t="s">
        <v>73</v>
      </c>
      <c r="Q146">
        <v>1</v>
      </c>
      <c r="X146">
        <v>0.33</v>
      </c>
      <c r="Y146">
        <v>72.319999999999993</v>
      </c>
      <c r="Z146">
        <v>0</v>
      </c>
      <c r="AA146">
        <v>0</v>
      </c>
      <c r="AB146">
        <v>0</v>
      </c>
      <c r="AC146">
        <v>0</v>
      </c>
      <c r="AD146">
        <v>1</v>
      </c>
      <c r="AE146">
        <v>0</v>
      </c>
      <c r="AF146" t="s">
        <v>2</v>
      </c>
      <c r="AG146">
        <v>0.33</v>
      </c>
      <c r="AH146">
        <v>2</v>
      </c>
      <c r="AI146">
        <v>224528239</v>
      </c>
      <c r="AJ146">
        <v>124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</row>
    <row r="147" spans="1:44" x14ac:dyDescent="0.2">
      <c r="A147">
        <f>ROW(Source!A167)</f>
        <v>167</v>
      </c>
      <c r="B147">
        <v>224528240</v>
      </c>
      <c r="C147">
        <v>224528209</v>
      </c>
      <c r="D147">
        <v>222911928</v>
      </c>
      <c r="E147">
        <v>1</v>
      </c>
      <c r="F147">
        <v>1</v>
      </c>
      <c r="G147">
        <v>1</v>
      </c>
      <c r="H147">
        <v>3</v>
      </c>
      <c r="I147" t="s">
        <v>630</v>
      </c>
      <c r="J147" t="s">
        <v>631</v>
      </c>
      <c r="K147" t="s">
        <v>632</v>
      </c>
      <c r="L147">
        <v>1346</v>
      </c>
      <c r="N147">
        <v>1009</v>
      </c>
      <c r="O147" t="s">
        <v>33</v>
      </c>
      <c r="P147" t="s">
        <v>33</v>
      </c>
      <c r="Q147">
        <v>1</v>
      </c>
      <c r="X147">
        <v>0.11</v>
      </c>
      <c r="Y147">
        <v>1.82</v>
      </c>
      <c r="Z147">
        <v>0</v>
      </c>
      <c r="AA147">
        <v>0</v>
      </c>
      <c r="AB147">
        <v>0</v>
      </c>
      <c r="AC147">
        <v>0</v>
      </c>
      <c r="AD147">
        <v>1</v>
      </c>
      <c r="AE147">
        <v>0</v>
      </c>
      <c r="AF147" t="s">
        <v>2</v>
      </c>
      <c r="AG147">
        <v>0.11</v>
      </c>
      <c r="AH147">
        <v>2</v>
      </c>
      <c r="AI147">
        <v>224528240</v>
      </c>
      <c r="AJ147">
        <v>125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</row>
    <row r="148" spans="1:44" x14ac:dyDescent="0.2">
      <c r="A148">
        <f>ROW(Source!A167)</f>
        <v>167</v>
      </c>
      <c r="B148">
        <v>224528241</v>
      </c>
      <c r="C148">
        <v>224528209</v>
      </c>
      <c r="D148">
        <v>222899151</v>
      </c>
      <c r="E148">
        <v>70</v>
      </c>
      <c r="F148">
        <v>1</v>
      </c>
      <c r="G148">
        <v>1</v>
      </c>
      <c r="H148">
        <v>3</v>
      </c>
      <c r="I148" t="s">
        <v>768</v>
      </c>
      <c r="J148" t="s">
        <v>2</v>
      </c>
      <c r="K148" t="s">
        <v>769</v>
      </c>
      <c r="L148">
        <v>1348</v>
      </c>
      <c r="N148">
        <v>1009</v>
      </c>
      <c r="O148" t="s">
        <v>18</v>
      </c>
      <c r="P148" t="s">
        <v>18</v>
      </c>
      <c r="Q148">
        <v>1000</v>
      </c>
      <c r="X148">
        <v>5.1999999999999998E-2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 t="s">
        <v>2</v>
      </c>
      <c r="AG148">
        <v>5.1999999999999998E-2</v>
      </c>
      <c r="AH148">
        <v>3</v>
      </c>
      <c r="AI148">
        <v>-1</v>
      </c>
      <c r="AJ148" t="s">
        <v>2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</row>
    <row r="149" spans="1:44" x14ac:dyDescent="0.2">
      <c r="A149">
        <f>ROW(Source!A167)</f>
        <v>167</v>
      </c>
      <c r="B149">
        <v>224528242</v>
      </c>
      <c r="C149">
        <v>224528209</v>
      </c>
      <c r="D149">
        <v>222940670</v>
      </c>
      <c r="E149">
        <v>1</v>
      </c>
      <c r="F149">
        <v>1</v>
      </c>
      <c r="G149">
        <v>1</v>
      </c>
      <c r="H149">
        <v>3</v>
      </c>
      <c r="I149" t="s">
        <v>633</v>
      </c>
      <c r="J149" t="s">
        <v>634</v>
      </c>
      <c r="K149" t="s">
        <v>635</v>
      </c>
      <c r="L149">
        <v>1348</v>
      </c>
      <c r="N149">
        <v>1009</v>
      </c>
      <c r="O149" t="s">
        <v>18</v>
      </c>
      <c r="P149" t="s">
        <v>18</v>
      </c>
      <c r="Q149">
        <v>1000</v>
      </c>
      <c r="X149">
        <v>5.4999999999999997E-3</v>
      </c>
      <c r="Y149">
        <v>4294</v>
      </c>
      <c r="Z149">
        <v>0</v>
      </c>
      <c r="AA149">
        <v>0</v>
      </c>
      <c r="AB149">
        <v>0</v>
      </c>
      <c r="AC149">
        <v>0</v>
      </c>
      <c r="AD149">
        <v>1</v>
      </c>
      <c r="AE149">
        <v>0</v>
      </c>
      <c r="AF149" t="s">
        <v>2</v>
      </c>
      <c r="AG149">
        <v>5.4999999999999997E-3</v>
      </c>
      <c r="AH149">
        <v>2</v>
      </c>
      <c r="AI149">
        <v>224528242</v>
      </c>
      <c r="AJ149">
        <v>126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CalcTmp</vt:lpstr>
      <vt:lpstr>ЛС 11 граф (АО Атомпроект)</vt:lpstr>
      <vt:lpstr>Source</vt:lpstr>
      <vt:lpstr>SourceObSm</vt:lpstr>
      <vt:lpstr>SmtRes</vt:lpstr>
      <vt:lpstr>EtalonRes</vt:lpstr>
      <vt:lpstr>'ЛС 11 граф (АО Атомпроект)'!Заголовки_для_печати</vt:lpstr>
      <vt:lpstr>'ЛС 11 граф (АО Атомпроект)'!Область_печати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2022-07-27T09:34:56Z</dcterms:created>
  <dcterms:modified xsi:type="dcterms:W3CDTF">2025-09-30T22:05:14Z</dcterms:modified>
</cp:coreProperties>
</file>